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ALSA Draft Financials\2019\12 Dec 19\"/>
    </mc:Choice>
  </mc:AlternateContent>
  <bookViews>
    <workbookView xWindow="0" yWindow="0" windowWidth="24000" windowHeight="14235" activeTab="1"/>
  </bookViews>
  <sheets>
    <sheet name="Options" sheetId="1" r:id="rId1"/>
    <sheet name="Report" sheetId="2" r:id="rId2"/>
    <sheet name="Sheet1" sheetId="78" state="veryHidden" r:id="rId3"/>
    <sheet name="Sheet2" sheetId="79" state="veryHidden" r:id="rId4"/>
    <sheet name="Sheet4" sheetId="87" state="veryHidden" r:id="rId5"/>
  </sheets>
  <definedNames>
    <definedName name="_xlnm.Print_Area" localSheetId="1">Report!$D$1:$N$110</definedName>
    <definedName name="Territory">Options!$D$7</definedName>
  </definedNames>
  <calcPr calcId="152511"/>
</workbook>
</file>

<file path=xl/calcChain.xml><?xml version="1.0" encoding="utf-8"?>
<calcChain xmlns="http://schemas.openxmlformats.org/spreadsheetml/2006/main">
  <c r="E93" i="2" l="1"/>
  <c r="E94" i="2"/>
  <c r="E95" i="2"/>
  <c r="E96" i="2"/>
  <c r="E97" i="2"/>
  <c r="E98" i="2"/>
  <c r="E99" i="2"/>
  <c r="D93" i="2"/>
  <c r="D94" i="2"/>
  <c r="D95" i="2"/>
  <c r="D96" i="2"/>
  <c r="D97" i="2"/>
  <c r="D98" i="2"/>
  <c r="D99" i="2"/>
  <c r="C94" i="2"/>
  <c r="C95" i="2"/>
  <c r="C96" i="2"/>
  <c r="C97" i="2"/>
  <c r="C98" i="2"/>
  <c r="C99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L94" i="2" l="1"/>
  <c r="N94" i="2"/>
  <c r="L95" i="2"/>
  <c r="N95" i="2"/>
  <c r="L96" i="2"/>
  <c r="N96" i="2"/>
  <c r="L97" i="2"/>
  <c r="N97" i="2"/>
  <c r="L98" i="2"/>
  <c r="N98" i="2"/>
  <c r="L99" i="2"/>
  <c r="N99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L62" i="2" l="1"/>
  <c r="N62" i="2"/>
  <c r="L63" i="2"/>
  <c r="N63" i="2"/>
  <c r="L64" i="2"/>
  <c r="N64" i="2"/>
  <c r="L65" i="2"/>
  <c r="N65" i="2"/>
  <c r="L66" i="2"/>
  <c r="N66" i="2"/>
  <c r="L67" i="2"/>
  <c r="N67" i="2"/>
  <c r="L68" i="2"/>
  <c r="N68" i="2"/>
  <c r="L69" i="2"/>
  <c r="N69" i="2"/>
  <c r="L70" i="2"/>
  <c r="N70" i="2"/>
  <c r="L71" i="2"/>
  <c r="N71" i="2"/>
  <c r="L72" i="2"/>
  <c r="N72" i="2"/>
  <c r="L73" i="2"/>
  <c r="N73" i="2"/>
  <c r="L74" i="2"/>
  <c r="N74" i="2"/>
  <c r="L75" i="2"/>
  <c r="N75" i="2"/>
  <c r="L76" i="2"/>
  <c r="N76" i="2"/>
  <c r="L77" i="2"/>
  <c r="N77" i="2"/>
  <c r="L78" i="2"/>
  <c r="N78" i="2"/>
  <c r="L79" i="2"/>
  <c r="N79" i="2"/>
  <c r="L80" i="2"/>
  <c r="N80" i="2"/>
  <c r="L81" i="2"/>
  <c r="N81" i="2"/>
  <c r="L82" i="2"/>
  <c r="N82" i="2"/>
  <c r="L83" i="2"/>
  <c r="N83" i="2"/>
  <c r="L84" i="2"/>
  <c r="N84" i="2"/>
  <c r="L85" i="2"/>
  <c r="N85" i="2"/>
  <c r="L86" i="2"/>
  <c r="N86" i="2"/>
  <c r="L87" i="2"/>
  <c r="N87" i="2"/>
  <c r="L88" i="2"/>
  <c r="N88" i="2"/>
  <c r="L89" i="2"/>
  <c r="N89" i="2"/>
  <c r="L90" i="2"/>
  <c r="N90" i="2"/>
  <c r="L91" i="2"/>
  <c r="N91" i="2"/>
  <c r="L92" i="2"/>
  <c r="N92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L39" i="2" l="1"/>
  <c r="N39" i="2"/>
  <c r="L40" i="2"/>
  <c r="N40" i="2"/>
  <c r="L41" i="2"/>
  <c r="N41" i="2"/>
  <c r="L42" i="2"/>
  <c r="N42" i="2"/>
  <c r="L43" i="2"/>
  <c r="N43" i="2"/>
  <c r="L44" i="2"/>
  <c r="N44" i="2"/>
  <c r="L45" i="2"/>
  <c r="N45" i="2"/>
  <c r="L46" i="2"/>
  <c r="N46" i="2"/>
  <c r="L47" i="2"/>
  <c r="N47" i="2"/>
  <c r="L48" i="2"/>
  <c r="N48" i="2"/>
  <c r="L49" i="2"/>
  <c r="N49" i="2"/>
  <c r="L50" i="2"/>
  <c r="N50" i="2"/>
  <c r="L51" i="2"/>
  <c r="N51" i="2"/>
  <c r="L52" i="2"/>
  <c r="N52" i="2"/>
  <c r="L53" i="2"/>
  <c r="N53" i="2"/>
  <c r="L54" i="2"/>
  <c r="N54" i="2"/>
  <c r="L55" i="2"/>
  <c r="N55" i="2"/>
  <c r="L56" i="2"/>
  <c r="N56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L18" i="2" l="1"/>
  <c r="N18" i="2"/>
  <c r="L19" i="2"/>
  <c r="N19" i="2"/>
  <c r="L20" i="2"/>
  <c r="N20" i="2"/>
  <c r="L21" i="2"/>
  <c r="N21" i="2"/>
  <c r="L22" i="2"/>
  <c r="N22" i="2"/>
  <c r="L23" i="2"/>
  <c r="N23" i="2"/>
  <c r="L24" i="2"/>
  <c r="N24" i="2"/>
  <c r="L25" i="2"/>
  <c r="N25" i="2"/>
  <c r="L26" i="2"/>
  <c r="N26" i="2"/>
  <c r="L27" i="2"/>
  <c r="N27" i="2"/>
  <c r="L28" i="2"/>
  <c r="N28" i="2"/>
  <c r="L29" i="2"/>
  <c r="N29" i="2"/>
  <c r="L30" i="2"/>
  <c r="N30" i="2"/>
  <c r="L31" i="2"/>
  <c r="N31" i="2"/>
  <c r="L32" i="2"/>
  <c r="N32" i="2"/>
  <c r="L33" i="2"/>
  <c r="N33" i="2"/>
  <c r="L93" i="2"/>
  <c r="N93" i="2"/>
  <c r="L61" i="2"/>
  <c r="N61" i="2"/>
  <c r="L38" i="2"/>
  <c r="N38" i="2"/>
  <c r="L17" i="2"/>
  <c r="N17" i="2"/>
  <c r="F3" i="2"/>
  <c r="F4" i="2"/>
  <c r="F15" i="2"/>
  <c r="F35" i="2"/>
  <c r="H35" i="2"/>
  <c r="J35" i="2"/>
  <c r="L35" i="2"/>
  <c r="N35" i="2"/>
  <c r="F58" i="2"/>
  <c r="H58" i="2"/>
  <c r="J58" i="2"/>
  <c r="L58" i="2"/>
  <c r="N58" i="2"/>
  <c r="F101" i="2"/>
  <c r="H101" i="2"/>
  <c r="J101" i="2"/>
  <c r="L101" i="2"/>
  <c r="N101" i="2"/>
  <c r="F103" i="2"/>
  <c r="H103" i="2"/>
  <c r="J103" i="2"/>
  <c r="L103" i="2"/>
  <c r="N103" i="2"/>
  <c r="F105" i="2"/>
  <c r="H105" i="2"/>
  <c r="J105" i="2"/>
  <c r="L105" i="2"/>
  <c r="N105" i="2"/>
  <c r="F110" i="2"/>
  <c r="H110" i="2"/>
  <c r="J110" i="2"/>
</calcChain>
</file>

<file path=xl/sharedStrings.xml><?xml version="1.0" encoding="utf-8"?>
<sst xmlns="http://schemas.openxmlformats.org/spreadsheetml/2006/main" count="1170" uniqueCount="720">
  <si>
    <t>G/L Acct</t>
  </si>
  <si>
    <t>Net Profit/Loss</t>
  </si>
  <si>
    <t>Account Range - PC</t>
  </si>
  <si>
    <t>Account Range - OE</t>
  </si>
  <si>
    <t>Hide+?</t>
  </si>
  <si>
    <t>Account Range - Rev</t>
  </si>
  <si>
    <t>Revenues</t>
  </si>
  <si>
    <t>Total Revenues</t>
  </si>
  <si>
    <t>Total Expenses</t>
  </si>
  <si>
    <t>Filters:</t>
  </si>
  <si>
    <t>Auto+Hide</t>
  </si>
  <si>
    <t>FILTERS</t>
  </si>
  <si>
    <t>Hide</t>
  </si>
  <si>
    <t>Report Name</t>
  </si>
  <si>
    <t>Date Range</t>
  </si>
  <si>
    <t>Start Date</t>
  </si>
  <si>
    <t>End Date</t>
  </si>
  <si>
    <t>Fit</t>
  </si>
  <si>
    <t>Account Type</t>
  </si>
  <si>
    <t>Profit/Loss Statement</t>
  </si>
  <si>
    <t>Posting</t>
  </si>
  <si>
    <t>Net Surplus/Loss as per G/L Acct</t>
  </si>
  <si>
    <t>Variance to calculated Net Surplus/Loss</t>
  </si>
  <si>
    <t>`</t>
  </si>
  <si>
    <t>$ Change</t>
  </si>
  <si>
    <t>% Change</t>
  </si>
  <si>
    <t>40000..49999</t>
  </si>
  <si>
    <t>70000..79999</t>
  </si>
  <si>
    <t>80000..89999</t>
  </si>
  <si>
    <t>Program Expenses</t>
  </si>
  <si>
    <t>General Overhead Expenses</t>
  </si>
  <si>
    <t>90000..94999</t>
  </si>
  <si>
    <t>Alberta Liquor Store Association</t>
  </si>
  <si>
    <t>=$C$7</t>
  </si>
  <si>
    <t>=$C$8</t>
  </si>
  <si>
    <t>=NL("Eval","=Options!D7")</t>
  </si>
  <si>
    <t>=NL("Eval","=Options!D8")</t>
  </si>
  <si>
    <t>=NL("Datefilter",C7,C8)</t>
  </si>
  <si>
    <t>=NL("rows","G/L Account",,"Account Type",$C$6,"No.",$C$3)</t>
  </si>
  <si>
    <t>=NF(C17,"No.")</t>
  </si>
  <si>
    <t>=NF(C17,"Name")</t>
  </si>
  <si>
    <t>=SUBTOTAL(9,F17:F18)</t>
  </si>
  <si>
    <t>=SUBTOTAL(9,H17:H18)</t>
  </si>
  <si>
    <t>=SUBTOTAL(9,J17:J18)</t>
  </si>
  <si>
    <t>=NL("rows","G/L Account",,"Account Type",$C$6,"No.",$C$4)</t>
  </si>
  <si>
    <t>=NF(C22,"No.")</t>
  </si>
  <si>
    <t>=NF(C22,"Name")</t>
  </si>
  <si>
    <t>=SUBTOTAL(9,F22:F23)</t>
  </si>
  <si>
    <t>=SUBTOTAL(9,H22:H23)</t>
  </si>
  <si>
    <t>=SUBTOTAL(9,J22:J23)</t>
  </si>
  <si>
    <t>=NL("rows","G/L Account",,"Account Type",$C$6,"No.",$C$5)</t>
  </si>
  <si>
    <t>=NL("rows","G/L Account",,"Account Type",$C$6,"No.",$D$5)</t>
  </si>
  <si>
    <t>99999</t>
  </si>
  <si>
    <t>=F37-F34</t>
  </si>
  <si>
    <t>=H37-H34</t>
  </si>
  <si>
    <t>=J37-J34</t>
  </si>
  <si>
    <t>Auto</t>
  </si>
  <si>
    <t>=NF(C18,"No.")</t>
  </si>
  <si>
    <t>=NF(C19,"No.")</t>
  </si>
  <si>
    <t>=NF(C20,"No.")</t>
  </si>
  <si>
    <t>=NF(C21,"No.")</t>
  </si>
  <si>
    <t>=NF(C23,"No.")</t>
  </si>
  <si>
    <t>=NF(C24,"No.")</t>
  </si>
  <si>
    <t>=NF(C25,"No.")</t>
  </si>
  <si>
    <t>=NF(C26,"No.")</t>
  </si>
  <si>
    <t>=NF(C27,"No.")</t>
  </si>
  <si>
    <t>=NF(C28,"No.")</t>
  </si>
  <si>
    <t>=NF(C18,"Name")</t>
  </si>
  <si>
    <t>=NF(C19,"Name")</t>
  </si>
  <si>
    <t>=NF(C20,"Name")</t>
  </si>
  <si>
    <t>=NF(C21,"Name")</t>
  </si>
  <si>
    <t>=NF(C23,"Name")</t>
  </si>
  <si>
    <t>=NF(C24,"Name")</t>
  </si>
  <si>
    <t>=NF(C25,"Name")</t>
  </si>
  <si>
    <t>=NF(C26,"Name")</t>
  </si>
  <si>
    <t>=NF(C27,"Name")</t>
  </si>
  <si>
    <t>=NF(C28,"Name")</t>
  </si>
  <si>
    <t>=NF(C38,"No.")</t>
  </si>
  <si>
    <t>=NF(C39,"No.")</t>
  </si>
  <si>
    <t>=NF(C40,"No.")</t>
  </si>
  <si>
    <t>=NF(C41,"No.")</t>
  </si>
  <si>
    <t>=NF(C42,"No.")</t>
  </si>
  <si>
    <t>=NF(C43,"No.")</t>
  </si>
  <si>
    <t>=NF(C44,"No.")</t>
  </si>
  <si>
    <t>=NF(C45,"No.")</t>
  </si>
  <si>
    <t>=NF(C46,"No.")</t>
  </si>
  <si>
    <t>=NF(C47,"No.")</t>
  </si>
  <si>
    <t>=NF(C48,"No.")</t>
  </si>
  <si>
    <t>=NF(C38,"Name")</t>
  </si>
  <si>
    <t>=NF(C39,"Name")</t>
  </si>
  <si>
    <t>=NF(C40,"Name")</t>
  </si>
  <si>
    <t>=NF(C41,"Name")</t>
  </si>
  <si>
    <t>=NF(C42,"Name")</t>
  </si>
  <si>
    <t>=NF(C43,"Name")</t>
  </si>
  <si>
    <t>=NF(C44,"Name")</t>
  </si>
  <si>
    <t>=NF(C45,"Name")</t>
  </si>
  <si>
    <t>=NF(C46,"Name")</t>
  </si>
  <si>
    <t>=NF(C47,"Name")</t>
  </si>
  <si>
    <t>=NF(C48,"Name")</t>
  </si>
  <si>
    <t>=NF(C61,"No.")</t>
  </si>
  <si>
    <t>=NF(C62,"No.")</t>
  </si>
  <si>
    <t>=NF(C63,"No.")</t>
  </si>
  <si>
    <t>=NF(C64,"No.")</t>
  </si>
  <si>
    <t>=NF(C65,"No.")</t>
  </si>
  <si>
    <t>=NF(C66,"No.")</t>
  </si>
  <si>
    <t>=NF(C67,"No.")</t>
  </si>
  <si>
    <t>=NF(C68,"No.")</t>
  </si>
  <si>
    <t>=NF(C69,"No.")</t>
  </si>
  <si>
    <t>=NF(C70,"No.")</t>
  </si>
  <si>
    <t>=NF(C71,"No.")</t>
  </si>
  <si>
    <t>=NF(C72,"No.")</t>
  </si>
  <si>
    <t>=NF(C73,"No.")</t>
  </si>
  <si>
    <t>=NF(C74,"No.")</t>
  </si>
  <si>
    <t>=NF(C75,"No.")</t>
  </si>
  <si>
    <t>=NF(C76,"No.")</t>
  </si>
  <si>
    <t>=NF(C77,"No.")</t>
  </si>
  <si>
    <t>=NF(C78,"No.")</t>
  </si>
  <si>
    <t>=NF(C79,"No.")</t>
  </si>
  <si>
    <t>=NF(C80,"No.")</t>
  </si>
  <si>
    <t>=NF(C81,"No.")</t>
  </si>
  <si>
    <t>=NF(C82,"No.")</t>
  </si>
  <si>
    <t>=NF(C83,"No.")</t>
  </si>
  <si>
    <t>=NF(C84,"No.")</t>
  </si>
  <si>
    <t>=NF(C85,"No.")</t>
  </si>
  <si>
    <t>=NF(C61,"Name")</t>
  </si>
  <si>
    <t>=NF(C62,"Name")</t>
  </si>
  <si>
    <t>=NF(C63,"Name")</t>
  </si>
  <si>
    <t>=NF(C64,"Name")</t>
  </si>
  <si>
    <t>=NF(C65,"Name")</t>
  </si>
  <si>
    <t>=NF(C66,"Name")</t>
  </si>
  <si>
    <t>=NF(C67,"Name")</t>
  </si>
  <si>
    <t>=NF(C68,"Name")</t>
  </si>
  <si>
    <t>=NF(C69,"Name")</t>
  </si>
  <si>
    <t>=NF(C70,"Name")</t>
  </si>
  <si>
    <t>=NF(C71,"Name")</t>
  </si>
  <si>
    <t>=NF(C72,"Name")</t>
  </si>
  <si>
    <t>=NF(C73,"Name")</t>
  </si>
  <si>
    <t>=NF(C74,"Name")</t>
  </si>
  <si>
    <t>=NF(C75,"Name")</t>
  </si>
  <si>
    <t>=NF(C76,"Name")</t>
  </si>
  <si>
    <t>=NF(C77,"Name")</t>
  </si>
  <si>
    <t>=NF(C78,"Name")</t>
  </si>
  <si>
    <t>=NF(C79,"Name")</t>
  </si>
  <si>
    <t>=NF(C80,"Name")</t>
  </si>
  <si>
    <t>=NF(C81,"Name")</t>
  </si>
  <si>
    <t>=NF(C82,"Name")</t>
  </si>
  <si>
    <t>=NF(C83,"Name")</t>
  </si>
  <si>
    <t>=NF(C84,"Name")</t>
  </si>
  <si>
    <t>=NF(C85,"Name")</t>
  </si>
  <si>
    <t>=NF(C86,"No.")</t>
  </si>
  <si>
    <t>=NF(C87,"No.")</t>
  </si>
  <si>
    <t>=NF(C88,"No.")</t>
  </si>
  <si>
    <t>=NF(C89,"No.")</t>
  </si>
  <si>
    <t>=NF(C90,"No.")</t>
  </si>
  <si>
    <t>=NF(C86,"Name")</t>
  </si>
  <si>
    <t>=NF(C87,"Name")</t>
  </si>
  <si>
    <t>=NF(C88,"Name")</t>
  </si>
  <si>
    <t>=NF(C89,"Name")</t>
  </si>
  <si>
    <t>=NF(C90,"Name")</t>
  </si>
  <si>
    <t>Total Program Expenses</t>
  </si>
  <si>
    <t>Total General Overhead Expenses</t>
  </si>
  <si>
    <t>=F4</t>
  </si>
  <si>
    <t>=F17-H17</t>
  </si>
  <si>
    <t>=IF(H17=0," ",IF(AND(H17&lt;0,F17&lt;0),-L17/H17,IF(AND(H17&lt;0,F17&gt;0),-L17/H17,IF(AND(H17&gt;0,F17&gt;0),L17/H17,IF(AND(H17&gt;0,F17&lt;0),L17/H17,IF(AND(H17&lt;0,F17=0),-L17/H17,IF(AND(H17&gt;0,F17=0),L17/H17)))))))</t>
  </si>
  <si>
    <t>=F19-H19</t>
  </si>
  <si>
    <t>=IF(H19=0," ",IF(AND(H19&lt;0,F19&lt;0),-L19/H19,IF(AND(H19&lt;0,F19&gt;0),-L19/H19,IF(AND(H19&gt;0,F19&gt;0),L19/H19,IF(AND(H19&gt;0,F19&lt;0),L19/H19,IF(AND(H19&lt;0,F19=0),-L19/H19,IF(AND(H19&gt;0,F19=0),L19/H19)))))))</t>
  </si>
  <si>
    <t>=F22-H22</t>
  </si>
  <si>
    <t>=IF(H22=0," ",IF(AND(H22&lt;0,F22&lt;0),L22/H22,IF(AND(H22&lt;0,F22&gt;0),L22/H22,IF(AND(H22&gt;0,F22&gt;0),-L22/H22,IF(AND(H22&gt;0,F22&lt;0),-L22/H22,IF(AND(H22&lt;0,F22=0),L22/H22,IF(AND(H22&gt;0,F22=0),-L22/H22)))))))</t>
  </si>
  <si>
    <t>=F24-H24</t>
  </si>
  <si>
    <t>=IF(H24=0," ",IF(AND(H24&lt;0,F24&lt;0),L24/H24,IF(AND(H24&lt;0,F24&gt;0),L24/H24,IF(AND(H24&gt;0,F24&gt;0),-L24/H24,IF(AND(H24&gt;0,F24&lt;0),-L24/H24,IF(AND(H24&lt;0,F24=0),L24/H24,IF(AND(H24&gt;0,F24=0),-L24/H24)))))))</t>
  </si>
  <si>
    <t>=F27-H27</t>
  </si>
  <si>
    <t>=IF(H27=0," ",IF(AND(H27&lt;0,F27&lt;0),L27/H27,IF(AND(H27&lt;0,F27&gt;0),L27/H27,IF(AND(H27&gt;0,F27&gt;0),-L27/H27,IF(AND(H27&gt;0,F27&lt;0),-L27/H27,IF(AND(H27&lt;0,F27=0),L27/H27,IF(AND(H27&gt;0,F27=0),-L27/H27)))))))</t>
  </si>
  <si>
    <t>=F28-H28</t>
  </si>
  <si>
    <t>=IF(H28=0," ",IF(AND(H28&lt;0,F28&lt;0),L28/H28,IF(AND(H28&lt;0,F28&gt;0),L28/H28,IF(AND(H28&gt;0,F28&gt;0),-L28/H28,IF(AND(H28&gt;0,F28&lt;0),-L28/H28,IF(AND(H28&lt;0,F28=0),L28/H28,IF(AND(H28&gt;0,F28=0),-L28/H28)))))))</t>
  </si>
  <si>
    <t>=SUBTOTAL(9,F27:F29)</t>
  </si>
  <si>
    <t>=SUBTOTAL(9,H27:H29)</t>
  </si>
  <si>
    <t>=SUBTOTAL(9,J27:J29)</t>
  </si>
  <si>
    <t>=F30-H30</t>
  </si>
  <si>
    <t>=IF(H30=0," ",IF(AND(H30&lt;0,F30&lt;0),L30/H30,IF(AND(H30&lt;0,F30&gt;0),L30/H30,IF(AND(H30&gt;0,F30&gt;0),-L30/H30,IF(AND(H30&gt;0,F30&lt;0),-L30/H30,IF(AND(H30&lt;0,F30=0),L30/H30,IF(AND(H30&gt;0,F30=0),-L30/H30)))))))</t>
  </si>
  <si>
    <t>=SUBTOTAL(9,F22:F30)</t>
  </si>
  <si>
    <t>=SUBTOTAL(9,H22:H30)</t>
  </si>
  <si>
    <t>=SUBTOTAL(9,J22:J30)</t>
  </si>
  <si>
    <t>=F32-H32</t>
  </si>
  <si>
    <t>=IF(H32=0," ",IF(AND(H32&lt;0,F32&lt;0),-L32/H32,IF(AND(H32&lt;0,F32&gt;0),-L32/H32,IF(AND(H32&gt;0,F32&gt;0),L32/H32,IF(AND(H32&gt;0,F32&lt;0),L32/H32,IF(AND(H32&lt;0,F32=0),-L32/H32,IF(AND(H32&gt;0,F32=0),L32/H32)))))))</t>
  </si>
  <si>
    <t>=SUBTOTAL(9,F17:F32)</t>
  </si>
  <si>
    <t>=SUBTOTAL(9,H17:H32)</t>
  </si>
  <si>
    <t>=SUBTOTAL(9,J17:J32)</t>
  </si>
  <si>
    <t>=F34-H34</t>
  </si>
  <si>
    <t>=IF(H34=0," ",IF(AND(H34&lt;0,F34&lt;0),-L34/H34,IF(AND(H34&lt;0,F34&gt;0),-L34/H34,IF(AND(H34&gt;0,F34&gt;0),L34/H34,IF(AND(H34&gt;0,F34&lt;0),L34/H34,IF(AND(H34&lt;0,F34=0),-L34/H34,IF(AND(H34&gt;0,F34=0),L34/H34)))))))</t>
  </si>
  <si>
    <t>=F18-H18</t>
  </si>
  <si>
    <t>=IF(H18=0," ",IF(AND(H18&lt;0,F18&lt;0),-L18/H18,IF(AND(H18&lt;0,F18&gt;0),-L18/H18,IF(AND(H18&gt;0,F18&gt;0),L18/H18,IF(AND(H18&gt;0,F18&lt;0),L18/H18,IF(AND(H18&lt;0,F18=0),-L18/H18,IF(AND(H18&gt;0,F18=0),L18/H18)))))))</t>
  </si>
  <si>
    <t>=F20-H20</t>
  </si>
  <si>
    <t>=IF(H20=0," ",IF(AND(H20&lt;0,F20&lt;0),-L20/H20,IF(AND(H20&lt;0,F20&gt;0),-L20/H20,IF(AND(H20&gt;0,F20&gt;0),L20/H20,IF(AND(H20&gt;0,F20&lt;0),L20/H20,IF(AND(H20&lt;0,F20=0),-L20/H20,IF(AND(H20&gt;0,F20=0),L20/H20)))))))</t>
  </si>
  <si>
    <t>=F21-H21</t>
  </si>
  <si>
    <t>=IF(H21=0," ",IF(AND(H21&lt;0,F21&lt;0),-L21/H21,IF(AND(H21&lt;0,F21&gt;0),-L21/H21,IF(AND(H21&gt;0,F21&gt;0),L21/H21,IF(AND(H21&gt;0,F21&lt;0),L21/H21,IF(AND(H21&lt;0,F21=0),-L21/H21,IF(AND(H21&gt;0,F21=0),L21/H21)))))))</t>
  </si>
  <si>
    <t>=IF(H22=0," ",IF(AND(H22&lt;0,F22&lt;0),-L22/H22,IF(AND(H22&lt;0,F22&gt;0),-L22/H22,IF(AND(H22&gt;0,F22&gt;0),L22/H22,IF(AND(H22&gt;0,F22&lt;0),L22/H22,IF(AND(H22&lt;0,F22=0),-L22/H22,IF(AND(H22&gt;0,F22=0),L22/H22)))))))</t>
  </si>
  <si>
    <t>=F23-H23</t>
  </si>
  <si>
    <t>=IF(H23=0," ",IF(AND(H23&lt;0,F23&lt;0),-L23/H23,IF(AND(H23&lt;0,F23&gt;0),-L23/H23,IF(AND(H23&gt;0,F23&gt;0),L23/H23,IF(AND(H23&gt;0,F23&lt;0),L23/H23,IF(AND(H23&lt;0,F23=0),-L23/H23,IF(AND(H23&gt;0,F23=0),L23/H23)))))))</t>
  </si>
  <si>
    <t>=IF(H24=0," ",IF(AND(H24&lt;0,F24&lt;0),-L24/H24,IF(AND(H24&lt;0,F24&gt;0),-L24/H24,IF(AND(H24&gt;0,F24&gt;0),L24/H24,IF(AND(H24&gt;0,F24&lt;0),L24/H24,IF(AND(H24&lt;0,F24=0),-L24/H24,IF(AND(H24&gt;0,F24=0),L24/H24)))))))</t>
  </si>
  <si>
    <t>=F25-H25</t>
  </si>
  <si>
    <t>=IF(H25=0," ",IF(AND(H25&lt;0,F25&lt;0),-L25/H25,IF(AND(H25&lt;0,F25&gt;0),-L25/H25,IF(AND(H25&gt;0,F25&gt;0),L25/H25,IF(AND(H25&gt;0,F25&lt;0),L25/H25,IF(AND(H25&lt;0,F25=0),-L25/H25,IF(AND(H25&gt;0,F25=0),L25/H25)))))))</t>
  </si>
  <si>
    <t>=F26-H26</t>
  </si>
  <si>
    <t>=IF(H26=0," ",IF(AND(H26&lt;0,F26&lt;0),-L26/H26,IF(AND(H26&lt;0,F26&gt;0),-L26/H26,IF(AND(H26&gt;0,F26&gt;0),L26/H26,IF(AND(H26&gt;0,F26&lt;0),L26/H26,IF(AND(H26&lt;0,F26=0),-L26/H26,IF(AND(H26&gt;0,F26=0),L26/H26)))))))</t>
  </si>
  <si>
    <t>=IF(H27=0," ",IF(AND(H27&lt;0,F27&lt;0),-L27/H27,IF(AND(H27&lt;0,F27&gt;0),-L27/H27,IF(AND(H27&gt;0,F27&gt;0),L27/H27,IF(AND(H27&gt;0,F27&lt;0),L27/H27,IF(AND(H27&lt;0,F27=0),-L27/H27,IF(AND(H27&gt;0,F27=0),L27/H27)))))))</t>
  </si>
  <si>
    <t>=IF(H28=0," ",IF(AND(H28&lt;0,F28&lt;0),-L28/H28,IF(AND(H28&lt;0,F28&gt;0),-L28/H28,IF(AND(H28&gt;0,F28&gt;0),L28/H28,IF(AND(H28&gt;0,F28&lt;0),L28/H28,IF(AND(H28&lt;0,F28=0),-L28/H28,IF(AND(H28&gt;0,F28=0),L28/H28)))))))</t>
  </si>
  <si>
    <t>=F38-H38</t>
  </si>
  <si>
    <t>=IF(H38=0," ",IF(AND(H38&lt;0,F38&lt;0),L38/H38,IF(AND(H38&lt;0,F38&gt;0),L38/H38,IF(AND(H38&gt;0,F38&gt;0),-L38/H38,IF(AND(H38&gt;0,F38&lt;0),-L38/H38,IF(AND(H38&lt;0,F38=0),L38/H38,IF(AND(H38&gt;0,F38=0),-L38/H38)))))))</t>
  </si>
  <si>
    <t>=F39-H39</t>
  </si>
  <si>
    <t>=IF(H39=0," ",IF(AND(H39&lt;0,F39&lt;0),L39/H39,IF(AND(H39&lt;0,F39&gt;0),L39/H39,IF(AND(H39&gt;0,F39&gt;0),-L39/H39,IF(AND(H39&gt;0,F39&lt;0),-L39/H39,IF(AND(H39&lt;0,F39=0),L39/H39,IF(AND(H39&gt;0,F39=0),-L39/H39)))))))</t>
  </si>
  <si>
    <t>=F40-H40</t>
  </si>
  <si>
    <t>=IF(H40=0," ",IF(AND(H40&lt;0,F40&lt;0),L40/H40,IF(AND(H40&lt;0,F40&gt;0),L40/H40,IF(AND(H40&gt;0,F40&gt;0),-L40/H40,IF(AND(H40&gt;0,F40&lt;0),-L40/H40,IF(AND(H40&lt;0,F40=0),L40/H40,IF(AND(H40&gt;0,F40=0),-L40/H40)))))))</t>
  </si>
  <si>
    <t>=F41-H41</t>
  </si>
  <si>
    <t>=IF(H41=0," ",IF(AND(H41&lt;0,F41&lt;0),L41/H41,IF(AND(H41&lt;0,F41&gt;0),L41/H41,IF(AND(H41&gt;0,F41&gt;0),-L41/H41,IF(AND(H41&gt;0,F41&lt;0),-L41/H41,IF(AND(H41&lt;0,F41=0),L41/H41,IF(AND(H41&gt;0,F41=0),-L41/H41)))))))</t>
  </si>
  <si>
    <t>=F42-H42</t>
  </si>
  <si>
    <t>=IF(H42=0," ",IF(AND(H42&lt;0,F42&lt;0),L42/H42,IF(AND(H42&lt;0,F42&gt;0),L42/H42,IF(AND(H42&gt;0,F42&gt;0),-L42/H42,IF(AND(H42&gt;0,F42&lt;0),-L42/H42,IF(AND(H42&lt;0,F42=0),L42/H42,IF(AND(H42&gt;0,F42=0),-L42/H42)))))))</t>
  </si>
  <si>
    <t>=F43-H43</t>
  </si>
  <si>
    <t>=IF(H43=0," ",IF(AND(H43&lt;0,F43&lt;0),L43/H43,IF(AND(H43&lt;0,F43&gt;0),L43/H43,IF(AND(H43&gt;0,F43&gt;0),-L43/H43,IF(AND(H43&gt;0,F43&lt;0),-L43/H43,IF(AND(H43&lt;0,F43=0),L43/H43,IF(AND(H43&gt;0,F43=0),-L43/H43)))))))</t>
  </si>
  <si>
    <t>=F44-H44</t>
  </si>
  <si>
    <t>=IF(H44=0," ",IF(AND(H44&lt;0,F44&lt;0),L44/H44,IF(AND(H44&lt;0,F44&gt;0),L44/H44,IF(AND(H44&gt;0,F44&gt;0),-L44/H44,IF(AND(H44&gt;0,F44&lt;0),-L44/H44,IF(AND(H44&lt;0,F44=0),L44/H44,IF(AND(H44&gt;0,F44=0),-L44/H44)))))))</t>
  </si>
  <si>
    <t>=F45-H45</t>
  </si>
  <si>
    <t>=IF(H45=0," ",IF(AND(H45&lt;0,F45&lt;0),L45/H45,IF(AND(H45&lt;0,F45&gt;0),L45/H45,IF(AND(H45&gt;0,F45&gt;0),-L45/H45,IF(AND(H45&gt;0,F45&lt;0),-L45/H45,IF(AND(H45&lt;0,F45=0),L45/H45,IF(AND(H45&gt;0,F45=0),-L45/H45)))))))</t>
  </si>
  <si>
    <t>=F46-H46</t>
  </si>
  <si>
    <t>=IF(H46=0," ",IF(AND(H46&lt;0,F46&lt;0),L46/H46,IF(AND(H46&lt;0,F46&gt;0),L46/H46,IF(AND(H46&gt;0,F46&gt;0),-L46/H46,IF(AND(H46&gt;0,F46&lt;0),-L46/H46,IF(AND(H46&lt;0,F46=0),L46/H46,IF(AND(H46&gt;0,F46=0),-L46/H46)))))))</t>
  </si>
  <si>
    <t>=F47-H47</t>
  </si>
  <si>
    <t>=IF(H47=0," ",IF(AND(H47&lt;0,F47&lt;0),L47/H47,IF(AND(H47&lt;0,F47&gt;0),L47/H47,IF(AND(H47&gt;0,F47&gt;0),-L47/H47,IF(AND(H47&gt;0,F47&lt;0),-L47/H47,IF(AND(H47&lt;0,F47=0),L47/H47,IF(AND(H47&gt;0,F47=0),-L47/H47)))))))</t>
  </si>
  <si>
    <t>=F48-H48</t>
  </si>
  <si>
    <t>=IF(H48=0," ",IF(AND(H48&lt;0,F48&lt;0),L48/H48,IF(AND(H48&lt;0,F48&gt;0),L48/H48,IF(AND(H48&gt;0,F48&gt;0),-L48/H48,IF(AND(H48&gt;0,F48&lt;0),-L48/H48,IF(AND(H48&lt;0,F48=0),L48/H48,IF(AND(H48&gt;0,F48=0),-L48/H48)))))))</t>
  </si>
  <si>
    <t>=F61-H61</t>
  </si>
  <si>
    <t>=IF(H61=0," ",IF(AND(H61&lt;0,F61&lt;0),L61/H61,IF(AND(H61&lt;0,F61&gt;0),L61/H61,IF(AND(H61&gt;0,F61&gt;0),-L61/H61,IF(AND(H61&gt;0,F61&lt;0),-L61/H61,IF(AND(H61&lt;0,F61=0),L61/H61,IF(AND(H61&gt;0,F61=0),-L61/H61)))))))</t>
  </si>
  <si>
    <t>=F62-H62</t>
  </si>
  <si>
    <t>=IF(H62=0," ",IF(AND(H62&lt;0,F62&lt;0),L62/H62,IF(AND(H62&lt;0,F62&gt;0),L62/H62,IF(AND(H62&gt;0,F62&gt;0),-L62/H62,IF(AND(H62&gt;0,F62&lt;0),-L62/H62,IF(AND(H62&lt;0,F62=0),L62/H62,IF(AND(H62&gt;0,F62=0),-L62/H62)))))))</t>
  </si>
  <si>
    <t>=F63-H63</t>
  </si>
  <si>
    <t>=IF(H63=0," ",IF(AND(H63&lt;0,F63&lt;0),L63/H63,IF(AND(H63&lt;0,F63&gt;0),L63/H63,IF(AND(H63&gt;0,F63&gt;0),-L63/H63,IF(AND(H63&gt;0,F63&lt;0),-L63/H63,IF(AND(H63&lt;0,F63=0),L63/H63,IF(AND(H63&gt;0,F63=0),-L63/H63)))))))</t>
  </si>
  <si>
    <t>=F64-H64</t>
  </si>
  <si>
    <t>=IF(H64=0," ",IF(AND(H64&lt;0,F64&lt;0),L64/H64,IF(AND(H64&lt;0,F64&gt;0),L64/H64,IF(AND(H64&gt;0,F64&gt;0),-L64/H64,IF(AND(H64&gt;0,F64&lt;0),-L64/H64,IF(AND(H64&lt;0,F64=0),L64/H64,IF(AND(H64&gt;0,F64=0),-L64/H64)))))))</t>
  </si>
  <si>
    <t>=F65-H65</t>
  </si>
  <si>
    <t>=IF(H65=0," ",IF(AND(H65&lt;0,F65&lt;0),L65/H65,IF(AND(H65&lt;0,F65&gt;0),L65/H65,IF(AND(H65&gt;0,F65&gt;0),-L65/H65,IF(AND(H65&gt;0,F65&lt;0),-L65/H65,IF(AND(H65&lt;0,F65=0),L65/H65,IF(AND(H65&gt;0,F65=0),-L65/H65)))))))</t>
  </si>
  <si>
    <t>=F66-H66</t>
  </si>
  <si>
    <t>=IF(H66=0," ",IF(AND(H66&lt;0,F66&lt;0),L66/H66,IF(AND(H66&lt;0,F66&gt;0),L66/H66,IF(AND(H66&gt;0,F66&gt;0),-L66/H66,IF(AND(H66&gt;0,F66&lt;0),-L66/H66,IF(AND(H66&lt;0,F66=0),L66/H66,IF(AND(H66&gt;0,F66=0),-L66/H66)))))))</t>
  </si>
  <si>
    <t>=F67-H67</t>
  </si>
  <si>
    <t>=IF(H67=0," ",IF(AND(H67&lt;0,F67&lt;0),L67/H67,IF(AND(H67&lt;0,F67&gt;0),L67/H67,IF(AND(H67&gt;0,F67&gt;0),-L67/H67,IF(AND(H67&gt;0,F67&lt;0),-L67/H67,IF(AND(H67&lt;0,F67=0),L67/H67,IF(AND(H67&gt;0,F67=0),-L67/H67)))))))</t>
  </si>
  <si>
    <t>=F68-H68</t>
  </si>
  <si>
    <t>=IF(H68=0," ",IF(AND(H68&lt;0,F68&lt;0),L68/H68,IF(AND(H68&lt;0,F68&gt;0),L68/H68,IF(AND(H68&gt;0,F68&gt;0),-L68/H68,IF(AND(H68&gt;0,F68&lt;0),-L68/H68,IF(AND(H68&lt;0,F68=0),L68/H68,IF(AND(H68&gt;0,F68=0),-L68/H68)))))))</t>
  </si>
  <si>
    <t>=F69-H69</t>
  </si>
  <si>
    <t>=IF(H69=0," ",IF(AND(H69&lt;0,F69&lt;0),L69/H69,IF(AND(H69&lt;0,F69&gt;0),L69/H69,IF(AND(H69&gt;0,F69&gt;0),-L69/H69,IF(AND(H69&gt;0,F69&lt;0),-L69/H69,IF(AND(H69&lt;0,F69=0),L69/H69,IF(AND(H69&gt;0,F69=0),-L69/H69)))))))</t>
  </si>
  <si>
    <t>=F70-H70</t>
  </si>
  <si>
    <t>=IF(H70=0," ",IF(AND(H70&lt;0,F70&lt;0),L70/H70,IF(AND(H70&lt;0,F70&gt;0),L70/H70,IF(AND(H70&gt;0,F70&gt;0),-L70/H70,IF(AND(H70&gt;0,F70&lt;0),-L70/H70,IF(AND(H70&lt;0,F70=0),L70/H70,IF(AND(H70&gt;0,F70=0),-L70/H70)))))))</t>
  </si>
  <si>
    <t>=F71-H71</t>
  </si>
  <si>
    <t>=IF(H71=0," ",IF(AND(H71&lt;0,F71&lt;0),L71/H71,IF(AND(H71&lt;0,F71&gt;0),L71/H71,IF(AND(H71&gt;0,F71&gt;0),-L71/H71,IF(AND(H71&gt;0,F71&lt;0),-L71/H71,IF(AND(H71&lt;0,F71=0),L71/H71,IF(AND(H71&gt;0,F71=0),-L71/H71)))))))</t>
  </si>
  <si>
    <t>=F72-H72</t>
  </si>
  <si>
    <t>=IF(H72=0," ",IF(AND(H72&lt;0,F72&lt;0),L72/H72,IF(AND(H72&lt;0,F72&gt;0),L72/H72,IF(AND(H72&gt;0,F72&gt;0),-L72/H72,IF(AND(H72&gt;0,F72&lt;0),-L72/H72,IF(AND(H72&lt;0,F72=0),L72/H72,IF(AND(H72&gt;0,F72=0),-L72/H72)))))))</t>
  </si>
  <si>
    <t>=F73-H73</t>
  </si>
  <si>
    <t>=IF(H73=0," ",IF(AND(H73&lt;0,F73&lt;0),L73/H73,IF(AND(H73&lt;0,F73&gt;0),L73/H73,IF(AND(H73&gt;0,F73&gt;0),-L73/H73,IF(AND(H73&gt;0,F73&lt;0),-L73/H73,IF(AND(H73&lt;0,F73=0),L73/H73,IF(AND(H73&gt;0,F73=0),-L73/H73)))))))</t>
  </si>
  <si>
    <t>=F74-H74</t>
  </si>
  <si>
    <t>=IF(H74=0," ",IF(AND(H74&lt;0,F74&lt;0),L74/H74,IF(AND(H74&lt;0,F74&gt;0),L74/H74,IF(AND(H74&gt;0,F74&gt;0),-L74/H74,IF(AND(H74&gt;0,F74&lt;0),-L74/H74,IF(AND(H74&lt;0,F74=0),L74/H74,IF(AND(H74&gt;0,F74=0),-L74/H74)))))))</t>
  </si>
  <si>
    <t>=F75-H75</t>
  </si>
  <si>
    <t>=IF(H75=0," ",IF(AND(H75&lt;0,F75&lt;0),L75/H75,IF(AND(H75&lt;0,F75&gt;0),L75/H75,IF(AND(H75&gt;0,F75&gt;0),-L75/H75,IF(AND(H75&gt;0,F75&lt;0),-L75/H75,IF(AND(H75&lt;0,F75=0),L75/H75,IF(AND(H75&gt;0,F75=0),-L75/H75)))))))</t>
  </si>
  <si>
    <t>=F76-H76</t>
  </si>
  <si>
    <t>=IF(H76=0," ",IF(AND(H76&lt;0,F76&lt;0),L76/H76,IF(AND(H76&lt;0,F76&gt;0),L76/H76,IF(AND(H76&gt;0,F76&gt;0),-L76/H76,IF(AND(H76&gt;0,F76&lt;0),-L76/H76,IF(AND(H76&lt;0,F76=0),L76/H76,IF(AND(H76&gt;0,F76=0),-L76/H76)))))))</t>
  </si>
  <si>
    <t>=F77-H77</t>
  </si>
  <si>
    <t>=IF(H77=0," ",IF(AND(H77&lt;0,F77&lt;0),L77/H77,IF(AND(H77&lt;0,F77&gt;0),L77/H77,IF(AND(H77&gt;0,F77&gt;0),-L77/H77,IF(AND(H77&gt;0,F77&lt;0),-L77/H77,IF(AND(H77&lt;0,F77=0),L77/H77,IF(AND(H77&gt;0,F77=0),-L77/H77)))))))</t>
  </si>
  <si>
    <t>=F78-H78</t>
  </si>
  <si>
    <t>=IF(H78=0," ",IF(AND(H78&lt;0,F78&lt;0),L78/H78,IF(AND(H78&lt;0,F78&gt;0),L78/H78,IF(AND(H78&gt;0,F78&gt;0),-L78/H78,IF(AND(H78&gt;0,F78&lt;0),-L78/H78,IF(AND(H78&lt;0,F78=0),L78/H78,IF(AND(H78&gt;0,F78=0),-L78/H78)))))))</t>
  </si>
  <si>
    <t>=F79-H79</t>
  </si>
  <si>
    <t>=IF(H79=0," ",IF(AND(H79&lt;0,F79&lt;0),L79/H79,IF(AND(H79&lt;0,F79&gt;0),L79/H79,IF(AND(H79&gt;0,F79&gt;0),-L79/H79,IF(AND(H79&gt;0,F79&lt;0),-L79/H79,IF(AND(H79&lt;0,F79=0),L79/H79,IF(AND(H79&gt;0,F79=0),-L79/H79)))))))</t>
  </si>
  <si>
    <t>=F80-H80</t>
  </si>
  <si>
    <t>=IF(H80=0," ",IF(AND(H80&lt;0,F80&lt;0),L80/H80,IF(AND(H80&lt;0,F80&gt;0),L80/H80,IF(AND(H80&gt;0,F80&gt;0),-L80/H80,IF(AND(H80&gt;0,F80&lt;0),-L80/H80,IF(AND(H80&lt;0,F80=0),L80/H80,IF(AND(H80&gt;0,F80=0),-L80/H80)))))))</t>
  </si>
  <si>
    <t>=F81-H81</t>
  </si>
  <si>
    <t>=IF(H81=0," ",IF(AND(H81&lt;0,F81&lt;0),L81/H81,IF(AND(H81&lt;0,F81&gt;0),L81/H81,IF(AND(H81&gt;0,F81&gt;0),-L81/H81,IF(AND(H81&gt;0,F81&lt;0),-L81/H81,IF(AND(H81&lt;0,F81=0),L81/H81,IF(AND(H81&gt;0,F81=0),-L81/H81)))))))</t>
  </si>
  <si>
    <t>=F82-H82</t>
  </si>
  <si>
    <t>=IF(H82=0," ",IF(AND(H82&lt;0,F82&lt;0),L82/H82,IF(AND(H82&lt;0,F82&gt;0),L82/H82,IF(AND(H82&gt;0,F82&gt;0),-L82/H82,IF(AND(H82&gt;0,F82&lt;0),-L82/H82,IF(AND(H82&lt;0,F82=0),L82/H82,IF(AND(H82&gt;0,F82=0),-L82/H82)))))))</t>
  </si>
  <si>
    <t>=F83-H83</t>
  </si>
  <si>
    <t>=IF(H83=0," ",IF(AND(H83&lt;0,F83&lt;0),L83/H83,IF(AND(H83&lt;0,F83&gt;0),L83/H83,IF(AND(H83&gt;0,F83&gt;0),-L83/H83,IF(AND(H83&gt;0,F83&lt;0),-L83/H83,IF(AND(H83&lt;0,F83=0),L83/H83,IF(AND(H83&gt;0,F83=0),-L83/H83)))))))</t>
  </si>
  <si>
    <t>=F84-H84</t>
  </si>
  <si>
    <t>=IF(H84=0," ",IF(AND(H84&lt;0,F84&lt;0),L84/H84,IF(AND(H84&lt;0,F84&gt;0),L84/H84,IF(AND(H84&gt;0,F84&gt;0),-L84/H84,IF(AND(H84&gt;0,F84&lt;0),-L84/H84,IF(AND(H84&lt;0,F84=0),L84/H84,IF(AND(H84&gt;0,F84=0),-L84/H84)))))))</t>
  </si>
  <si>
    <t>=F85-H85</t>
  </si>
  <si>
    <t>=IF(H85=0," ",IF(AND(H85&lt;0,F85&lt;0),L85/H85,IF(AND(H85&lt;0,F85&gt;0),L85/H85,IF(AND(H85&gt;0,F85&gt;0),-L85/H85,IF(AND(H85&gt;0,F85&lt;0),-L85/H85,IF(AND(H85&lt;0,F85=0),L85/H85,IF(AND(H85&gt;0,F85=0),-L85/H85)))))))</t>
  </si>
  <si>
    <t>=F86-H86</t>
  </si>
  <si>
    <t>=IF(H86=0," ",IF(AND(H86&lt;0,F86&lt;0),L86/H86,IF(AND(H86&lt;0,F86&gt;0),L86/H86,IF(AND(H86&gt;0,F86&gt;0),-L86/H86,IF(AND(H86&gt;0,F86&lt;0),-L86/H86,IF(AND(H86&lt;0,F86=0),L86/H86,IF(AND(H86&gt;0,F86=0),-L86/H86)))))))</t>
  </si>
  <si>
    <t>=F87-H87</t>
  </si>
  <si>
    <t>=IF(H87=0," ",IF(AND(H87&lt;0,F87&lt;0),L87/H87,IF(AND(H87&lt;0,F87&gt;0),L87/H87,IF(AND(H87&gt;0,F87&gt;0),-L87/H87,IF(AND(H87&gt;0,F87&lt;0),-L87/H87,IF(AND(H87&lt;0,F87=0),L87/H87,IF(AND(H87&gt;0,F87=0),-L87/H87)))))))</t>
  </si>
  <si>
    <t>=F88-H88</t>
  </si>
  <si>
    <t>=IF(H88=0," ",IF(AND(H88&lt;0,F88&lt;0),L88/H88,IF(AND(H88&lt;0,F88&gt;0),L88/H88,IF(AND(H88&gt;0,F88&gt;0),-L88/H88,IF(AND(H88&gt;0,F88&lt;0),-L88/H88,IF(AND(H88&lt;0,F88=0),L88/H88,IF(AND(H88&gt;0,F88=0),-L88/H88)))))))</t>
  </si>
  <si>
    <t>=F89-H89</t>
  </si>
  <si>
    <t>=IF(H89=0," ",IF(AND(H89&lt;0,F89&lt;0),L89/H89,IF(AND(H89&lt;0,F89&gt;0),L89/H89,IF(AND(H89&gt;0,F89&gt;0),-L89/H89,IF(AND(H89&gt;0,F89&lt;0),-L89/H89,IF(AND(H89&lt;0,F89=0),L89/H89,IF(AND(H89&gt;0,F89=0),-L89/H89)))))))</t>
  </si>
  <si>
    <t>=F90-H90</t>
  </si>
  <si>
    <t>=IF(H90=0," ",IF(AND(H90&lt;0,F90&lt;0),L90/H90,IF(AND(H90&lt;0,F90&gt;0),L90/H90,IF(AND(H90&gt;0,F90&gt;0),-L90/H90,IF(AND(H90&gt;0,F90&lt;0),-L90/H90,IF(AND(H90&lt;0,F90=0),L90/H90,IF(AND(H90&gt;0,F90=0),-L90/H90)))))))</t>
  </si>
  <si>
    <t>=F92-H92</t>
  </si>
  <si>
    <t>=IF(H92=0," ",IF(AND(H92&lt;0,F92&lt;0),L92/H92,IF(AND(H92&lt;0,F92&gt;0),L92/H92,IF(AND(H92&gt;0,F92&gt;0),-L92/H92,IF(AND(H92&gt;0,F92&lt;0),-L92/H92,IF(AND(H92&lt;0,F92=0),L92/H92,IF(AND(H92&gt;0,F92=0),-L92/H92)))))))</t>
  </si>
  <si>
    <t>=F94-H94</t>
  </si>
  <si>
    <t>=F29-H29</t>
  </si>
  <si>
    <t>=IF(H29=0," ",IF(AND(H29&lt;0,F29&lt;0),-L29/H29,IF(AND(H29&lt;0,F29&gt;0),-L29/H29,IF(AND(H29&gt;0,F29&gt;0),L29/H29,IF(AND(H29&gt;0,F29&lt;0),L29/H29,IF(AND(H29&lt;0,F29=0),-L29/H29,IF(AND(H29&gt;0,F29=0),L29/H29)))))))</t>
  </si>
  <si>
    <t>=F49-H49</t>
  </si>
  <si>
    <t>=IF(H49=0," ",IF(AND(H49&lt;0,F49&lt;0),L49/H49,IF(AND(H49&lt;0,F49&gt;0),L49/H49,IF(AND(H49&gt;0,F49&gt;0),-L49/H49,IF(AND(H49&gt;0,F49&lt;0),-L49/H49,IF(AND(H49&lt;0,F49=0),L49/H49,IF(AND(H49&gt;0,F49=0),-L49/H49)))))))</t>
  </si>
  <si>
    <t>=F51-H51</t>
  </si>
  <si>
    <t>=IF(H51=0," ",IF(AND(H51&lt;0,F51&lt;0),L51/H51,IF(AND(H51&lt;0,F51&gt;0),L51/H51,IF(AND(H51&gt;0,F51&gt;0),-L51/H51,IF(AND(H51&gt;0,F51&lt;0),-L51/H51,IF(AND(H51&lt;0,F51=0),L51/H51,IF(AND(H51&gt;0,F51=0),-L51/H51)))))))</t>
  </si>
  <si>
    <t>=F91-H91</t>
  </si>
  <si>
    <t>=IF(H91=0," ",IF(AND(H91&lt;0,F91&lt;0),L91/H91,IF(AND(H91&lt;0,F91&gt;0),L91/H91,IF(AND(H91&gt;0,F91&gt;0),-L91/H91,IF(AND(H91&gt;0,F91&lt;0),-L91/H91,IF(AND(H91&lt;0,F91=0),L91/H91,IF(AND(H91&gt;0,F91=0),-L91/H91)))))))</t>
  </si>
  <si>
    <t>=IF(H94=0," ",IF(AND(H94&lt;0,F94&lt;0),L94/H94,IF(AND(H94&lt;0,F94&gt;0),L94/H94,IF(AND(H94&gt;0,F94&gt;0),-L94/H94,IF(AND(H94&gt;0,F94&lt;0),-L94/H94,IF(AND(H94&lt;0,F94=0),L94/H94,IF(AND(H94&gt;0,F94=0),-L94/H94)))))))</t>
  </si>
  <si>
    <t>=NF(C29,"No.")</t>
  </si>
  <si>
    <t>=NF(C29,"Name")</t>
  </si>
  <si>
    <t>=NF(C49,"No.")</t>
  </si>
  <si>
    <t>=NF(C49,"Name")</t>
  </si>
  <si>
    <t>=NF(C91,"No.")</t>
  </si>
  <si>
    <t>=NF(C92,"No.")</t>
  </si>
  <si>
    <t>=NF(C91,"Name")</t>
  </si>
  <si>
    <t>=NF(C92,"Name")</t>
  </si>
  <si>
    <t>Auto+Hide+Lock+Formulas=Sheet1,Sheet2+FormulasOnly</t>
  </si>
  <si>
    <t>=IF(H30=0," ",IF(AND(H30&lt;0,F30&lt;0),-L30/H30,IF(AND(H30&lt;0,F30&gt;0),-L30/H30,IF(AND(H30&gt;0,F30&gt;0),L30/H30,IF(AND(H30&gt;0,F30&lt;0),L30/H30,IF(AND(H30&lt;0,F30=0),-L30/H30,IF(AND(H30&gt;0,F30=0),L30/H30)))))))</t>
  </si>
  <si>
    <t>=F50-H50</t>
  </si>
  <si>
    <t>=IF(H50=0," ",IF(AND(H50&lt;0,F50&lt;0),L50/H50,IF(AND(H50&lt;0,F50&gt;0),L50/H50,IF(AND(H50&gt;0,F50&gt;0),-L50/H50,IF(AND(H50&gt;0,F50&lt;0),-L50/H50,IF(AND(H50&lt;0,F50=0),L50/H50,IF(AND(H50&gt;0,F50=0),-L50/H50)))))))</t>
  </si>
  <si>
    <t>=F93-H93</t>
  </si>
  <si>
    <t>=IF(H93=0," ",IF(AND(H93&lt;0,F93&lt;0),L93/H93,IF(AND(H93&lt;0,F93&gt;0),L93/H93,IF(AND(H93&gt;0,F93&gt;0),-L93/H93,IF(AND(H93&gt;0,F93&lt;0),-L93/H93,IF(AND(H93&lt;0,F93=0),L93/H93,IF(AND(H93&gt;0,F93=0),-L93/H93)))))))</t>
  </si>
  <si>
    <t>=NF(C30,"No.")</t>
  </si>
  <si>
    <t>=NF(C30,"Name")</t>
  </si>
  <si>
    <t>=NF(C50,"No.")</t>
  </si>
  <si>
    <t>=NF(C51,"No.")</t>
  </si>
  <si>
    <t>=NF(C50,"Name")</t>
  </si>
  <si>
    <t>=NF(C51,"Name")</t>
  </si>
  <si>
    <t>=NF(C93,"No.")</t>
  </si>
  <si>
    <t>=NF(C94,"No.")</t>
  </si>
  <si>
    <t>=NF(C93,"Name")</t>
  </si>
  <si>
    <t>=NF(C94,"Name")</t>
  </si>
  <si>
    <t>=F31-H31</t>
  </si>
  <si>
    <t>=IF(H31=0," ",IF(AND(H31&lt;0,F31&lt;0),-L31/H31,IF(AND(H31&lt;0,F31&gt;0),-L31/H31,IF(AND(H31&gt;0,F31&gt;0),L31/H31,IF(AND(H31&gt;0,F31&lt;0),L31/H31,IF(AND(H31&lt;0,F31=0),-L31/H31,IF(AND(H31&gt;0,F31=0),L31/H31)))))))</t>
  </si>
  <si>
    <t>=F52-H52</t>
  </si>
  <si>
    <t>=IF(H52=0," ",IF(AND(H52&lt;0,F52&lt;0),L52/H52,IF(AND(H52&lt;0,F52&gt;0),L52/H52,IF(AND(H52&gt;0,F52&gt;0),-L52/H52,IF(AND(H52&gt;0,F52&lt;0),-L52/H52,IF(AND(H52&lt;0,F52=0),L52/H52,IF(AND(H52&gt;0,F52=0),-L52/H52)))))))</t>
  </si>
  <si>
    <t>=F95-H95</t>
  </si>
  <si>
    <t>=IF(H95=0," ",IF(AND(H95&lt;0,F95&lt;0),L95/H95,IF(AND(H95&lt;0,F95&gt;0),L95/H95,IF(AND(H95&gt;0,F95&gt;0),-L95/H95,IF(AND(H95&gt;0,F95&lt;0),-L95/H95,IF(AND(H95&lt;0,F95=0),L95/H95,IF(AND(H95&gt;0,F95=0),-L95/H95)))))))</t>
  </si>
  <si>
    <t>=NF(C31,"No.")</t>
  </si>
  <si>
    <t>=NF(C31,"Name")</t>
  </si>
  <si>
    <t>=NF(C52,"No.")</t>
  </si>
  <si>
    <t>=NF(C52,"Name")</t>
  </si>
  <si>
    <t>=NF(C95,"No.")</t>
  </si>
  <si>
    <t>=NF(C95,"Name")</t>
  </si>
  <si>
    <t>43101</t>
  </si>
  <si>
    <t>43465</t>
  </si>
  <si>
    <t>=F53-H53</t>
  </si>
  <si>
    <t>=IF(H53=0," ",IF(AND(H53&lt;0,F53&lt;0),L53/H53,IF(AND(H53&lt;0,F53&gt;0),L53/H53,IF(AND(H53&gt;0,F53&gt;0),-L53/H53,IF(AND(H53&gt;0,F53&lt;0),-L53/H53,IF(AND(H53&lt;0,F53=0),L53/H53,IF(AND(H53&gt;0,F53=0),-L53/H53)))))))</t>
  </si>
  <si>
    <t>=F96-H96</t>
  </si>
  <si>
    <t>=IF(H96=0," ",IF(AND(H96&lt;0,F96&lt;0),L96/H96,IF(AND(H96&lt;0,F96&gt;0),L96/H96,IF(AND(H96&gt;0,F96&gt;0),-L96/H96,IF(AND(H96&gt;0,F96&lt;0),-L96/H96,IF(AND(H96&lt;0,F96=0),L96/H96,IF(AND(H96&gt;0,F96=0),-L96/H96)))))))</t>
  </si>
  <si>
    <t>=NF(C32,"No.")</t>
  </si>
  <si>
    <t>=NF(C32,"Name")</t>
  </si>
  <si>
    <t>=NF(C53,"No.")</t>
  </si>
  <si>
    <t>=NF(C53,"Name")</t>
  </si>
  <si>
    <t>=NF(C96,"No.")</t>
  </si>
  <si>
    <t>=NF(C96,"Name")</t>
  </si>
  <si>
    <t>=F54-H54</t>
  </si>
  <si>
    <t>=IF(H54=0," ",IF(AND(H54&lt;0,F54&lt;0),L54/H54,IF(AND(H54&lt;0,F54&gt;0),L54/H54,IF(AND(H54&gt;0,F54&gt;0),-L54/H54,IF(AND(H54&gt;0,F54&lt;0),-L54/H54,IF(AND(H54&lt;0,F54=0),L54/H54,IF(AND(H54&gt;0,F54=0),-L54/H54)))))))</t>
  </si>
  <si>
    <t>=F56-H56</t>
  </si>
  <si>
    <t>=IF(H56=0," ",IF(AND(H56&lt;0,F56&lt;0),L56/H56,IF(AND(H56&lt;0,F56&gt;0),L56/H56,IF(AND(H56&gt;0,F56&gt;0),-L56/H56,IF(AND(H56&gt;0,F56&lt;0),-L56/H56,IF(AND(H56&lt;0,F56=0),L56/H56,IF(AND(H56&gt;0,F56=0),-L56/H56)))))))</t>
  </si>
  <si>
    <t>=F97-H97</t>
  </si>
  <si>
    <t>=IF(H97=0," ",IF(AND(H97&lt;0,F97&lt;0),L97/H97,IF(AND(H97&lt;0,F97&gt;0),L97/H97,IF(AND(H97&gt;0,F97&gt;0),-L97/H97,IF(AND(H97&gt;0,F97&lt;0),-L97/H97,IF(AND(H97&lt;0,F97=0),L97/H97,IF(AND(H97&gt;0,F97=0),-L97/H97)))))))</t>
  </si>
  <si>
    <t>=F99-H99</t>
  </si>
  <si>
    <t>=IF(H99=0," ",IF(AND(H99&lt;0,F99&lt;0),L99/H99,IF(AND(H99&lt;0,F99&gt;0),L99/H99,IF(AND(H99&gt;0,F99&gt;0),-L99/H99,IF(AND(H99&gt;0,F99&lt;0),-L99/H99,IF(AND(H99&lt;0,F99=0),L99/H99,IF(AND(H99&gt;0,F99=0),-L99/H99)))))))</t>
  </si>
  <si>
    <t>=F101-H101</t>
  </si>
  <si>
    <t>=F103-H103</t>
  </si>
  <si>
    <t>=IF(H103=0," ",IF(AND(H103&lt;0,F103&lt;0),-L103/H103,IF(AND(H103&lt;0,F103&gt;0),-L103/H103,IF(AND(H103&gt;0,F103&gt;0),L103/H103,IF(AND(H103&gt;0,F103&lt;0),L103/H103,IF(AND(H103&lt;0,F103=0),-L103/H103,IF(AND(H103&gt;0,F103=0),L103/H103)))))))</t>
  </si>
  <si>
    <t>=NF(C54,"No.")</t>
  </si>
  <si>
    <t>=NF(C54,"Name")</t>
  </si>
  <si>
    <t>=NF(C97,"No.")</t>
  </si>
  <si>
    <t>=NF(C97,"Name")</t>
  </si>
  <si>
    <t>2019 Start Date</t>
  </si>
  <si>
    <t>2019 End Date</t>
  </si>
  <si>
    <t>2019 Draft to</t>
  </si>
  <si>
    <t>2019 Budget</t>
  </si>
  <si>
    <t>2018 Actual</t>
  </si>
  <si>
    <t>Comparison 2019 Draft to Budget</t>
  </si>
  <si>
    <t>43466</t>
  </si>
  <si>
    <t>43830</t>
  </si>
  <si>
    <t>="""NAV2018"",""ALSA Live"",""15"",""1"",""41200"""</t>
  </si>
  <si>
    <t>="""NAV2018"",""ALSA Live"",""15"",""1"",""41300"""</t>
  </si>
  <si>
    <t>="""NAV2018"",""ALSA Live"",""15"",""1"",""42100"""</t>
  </si>
  <si>
    <t>="""NAV2018"",""ALSA Live"",""15"",""1"",""42200"""</t>
  </si>
  <si>
    <t>="""NAV2018"",""ALSA Live"",""15"",""1"",""42310"""</t>
  </si>
  <si>
    <t>="""NAV2018"",""ALSA Live"",""15"",""1"",""42320"""</t>
  </si>
  <si>
    <t>="""NAV2018"",""ALSA Live"",""15"",""1"",""42330"""</t>
  </si>
  <si>
    <t>="""NAV2018"",""ALSA Live"",""15"",""1"",""42600"""</t>
  </si>
  <si>
    <t>="""NAV2018"",""ALSA Live"",""15"",""1"",""43100"""</t>
  </si>
  <si>
    <t>="""NAV2018"",""ALSA Live"",""15"",""1"",""43600"""</t>
  </si>
  <si>
    <t>="""NAV2018"",""ALSA Live"",""15"",""1"",""44100"""</t>
  </si>
  <si>
    <t>="""NAV2018"",""ALSA Live"",""15"",""1"",""44600"""</t>
  </si>
  <si>
    <t>="""NAV2018"",""ALSA Live"",""15"",""1"",""45100"""</t>
  </si>
  <si>
    <t>="""NAV2018"",""ALSA Live"",""15"",""1"",""45200"""</t>
  </si>
  <si>
    <t>="""NAV2018"",""ALSA Live"",""15"",""1"",""47000"""</t>
  </si>
  <si>
    <t>="""NAV2018"",""ALSA Live"",""15"",""1"",""71200"""</t>
  </si>
  <si>
    <t>="""NAV2018"",""ALSA Live"",""15"",""1"",""71300"""</t>
  </si>
  <si>
    <t>="""NAV2018"",""ALSA Live"",""15"",""1"",""71400"""</t>
  </si>
  <si>
    <t>="""NAV2018"",""ALSA Live"",""15"",""1"",""71500"""</t>
  </si>
  <si>
    <t>="""NAV2018"",""ALSA Live"",""15"",""1"",""71600"""</t>
  </si>
  <si>
    <t>="""NAV2018"",""ALSA Live"",""15"",""1"",""71700"""</t>
  </si>
  <si>
    <t>="""NAV2018"",""ALSA Live"",""15"",""1"",""71750"""</t>
  </si>
  <si>
    <t>="""NAV2018"",""ALSA Live"",""15"",""1"",""71800"""</t>
  </si>
  <si>
    <t>="""NAV2018"",""ALSA Live"",""15"",""1"",""71850"""</t>
  </si>
  <si>
    <t>="""NAV2018"",""ALSA Live"",""15"",""1"",""71900"""</t>
  </si>
  <si>
    <t>="""NAV2018"",""ALSA Live"",""15"",""1"",""72000"""</t>
  </si>
  <si>
    <t>="""NAV2018"",""ALSA Live"",""15"",""1"",""72100"""</t>
  </si>
  <si>
    <t>="""NAV2018"",""ALSA Live"",""15"",""1"",""72200"""</t>
  </si>
  <si>
    <t>="""NAV2018"",""ALSA Live"",""15"",""1"",""72250"""</t>
  </si>
  <si>
    <t>="""NAV2018"",""ALSA Live"",""15"",""1"",""72300"""</t>
  </si>
  <si>
    <t>="""NAV2018"",""ALSA Live"",""15"",""1"",""72400"""</t>
  </si>
  <si>
    <t>="""NAV2018"",""ALSA Live"",""15"",""1"",""72500"""</t>
  </si>
  <si>
    <t>="""NAV2018"",""ALSA Live"",""15"",""1"",""81200"""</t>
  </si>
  <si>
    <t>="""NAV2018"",""ALSA Live"",""15"",""1"",""81300"""</t>
  </si>
  <si>
    <t>="""NAV2018"",""ALSA Live"",""15"",""1"",""81400"""</t>
  </si>
  <si>
    <t>="""NAV2018"",""ALSA Live"",""15"",""1"",""81500"""</t>
  </si>
  <si>
    <t>="""NAV2018"",""ALSA Live"",""15"",""1"",""81600"""</t>
  </si>
  <si>
    <t>="""NAV2018"",""ALSA Live"",""15"",""1"",""82100"""</t>
  </si>
  <si>
    <t>="""NAV2018"",""ALSA Live"",""15"",""1"",""82200"""</t>
  </si>
  <si>
    <t>="""NAV2018"",""ALSA Live"",""15"",""1"",""82250"""</t>
  </si>
  <si>
    <t>="""NAV2018"",""ALSA Live"",""15"",""1"",""82255"""</t>
  </si>
  <si>
    <t>="""NAV2018"",""ALSA Live"",""15"",""1"",""82260"""</t>
  </si>
  <si>
    <t>="""NAV2018"",""ALSA Live"",""15"",""1"",""82270"""</t>
  </si>
  <si>
    <t>="""NAV2018"",""ALSA Live"",""15"",""1"",""82300"""</t>
  </si>
  <si>
    <t>="""NAV2018"",""ALSA Live"",""15"",""1"",""82400"""</t>
  </si>
  <si>
    <t>="""NAV2018"",""ALSA Live"",""15"",""1"",""82450"""</t>
  </si>
  <si>
    <t>="""NAV2018"",""ALSA Live"",""15"",""1"",""82500"""</t>
  </si>
  <si>
    <t>="""NAV2018"",""ALSA Live"",""15"",""1"",""82600"""</t>
  </si>
  <si>
    <t>="""NAV2018"",""ALSA Live"",""15"",""1"",""82700"""</t>
  </si>
  <si>
    <t>="""NAV2018"",""ALSA Live"",""15"",""1"",""82750"""</t>
  </si>
  <si>
    <t>="""NAV2018"",""ALSA Live"",""15"",""1"",""82800"""</t>
  </si>
  <si>
    <t>="""NAV2018"",""ALSA Live"",""15"",""1"",""82850"""</t>
  </si>
  <si>
    <t>="""NAV2018"",""ALSA Live"",""15"",""1"",""82900"""</t>
  </si>
  <si>
    <t>="""NAV2018"",""ALSA Live"",""15"",""1"",""82950"""</t>
  </si>
  <si>
    <t>="""NAV2018"",""ALSA Live"",""15"",""1"",""83100"""</t>
  </si>
  <si>
    <t>="""NAV2018"",""ALSA Live"",""15"",""1"",""83200"""</t>
  </si>
  <si>
    <t>="""NAV2018"",""ALSA Live"",""15"",""1"",""84100"""</t>
  </si>
  <si>
    <t>="""NAV2018"",""ALSA Live"",""15"",""1"",""84110"""</t>
  </si>
  <si>
    <t>="""NAV2018"",""ALSA Live"",""15"",""1"",""84120"""</t>
  </si>
  <si>
    <t>="""NAV2018"",""ALSA Live"",""15"",""1"",""84200"""</t>
  </si>
  <si>
    <t>="""NAV2018"",""ALSA Live"",""15"",""1"",""84450"""</t>
  </si>
  <si>
    <t>="""NAV2018"",""ALSA Live"",""15"",""1"",""84500"""</t>
  </si>
  <si>
    <t>="""NAV2018"",""ALSA Live"",""15"",""1"",""84600"""</t>
  </si>
  <si>
    <t>="""NAV2018"",""ALSA Live"",""15"",""1"",""92000"""</t>
  </si>
  <si>
    <t>="""NAV2018"",""ALSA Live"",""15"",""1"",""93000"""</t>
  </si>
  <si>
    <t>="""NAV2018"",""ALSA Live"",""15"",""1"",""94000"""</t>
  </si>
  <si>
    <t>="""NAV2018"",""ALSA Live"",""15"",""1"",""94200"""</t>
  </si>
  <si>
    <t>="""NAV2018"",""ALSA Live"",""15"",""1"",""94500"""</t>
  </si>
  <si>
    <t>="""NAV2018"",""ALSA Live"",""15"",""1"",""94600"""</t>
  </si>
  <si>
    <t>"NAV2018","ALSA Live","15","1","41100"</t>
  </si>
  <si>
    <t>"NAV2018","ALSA Live","15","1","71100"</t>
  </si>
  <si>
    <t>"NAV2018","ALSA Live","15","1","81100"</t>
  </si>
  <si>
    <t>"NAV2018","ALSA Live","15","1","91000"</t>
  </si>
  <si>
    <t>="""NAV2018"",""ALSA Live"",""15"",""1"",""44700"""</t>
  </si>
  <si>
    <t>=F33-H33</t>
  </si>
  <si>
    <t>=IF(H33=0," ",IF(AND(H33&lt;0,F33&lt;0),-L33/H33,IF(AND(H33&lt;0,F33&gt;0),-L33/H33,IF(AND(H33&gt;0,F33&gt;0),L33/H33,IF(AND(H33&gt;0,F33&lt;0),L33/H33,IF(AND(H33&lt;0,F33=0),-L33/H33,IF(AND(H33&gt;0,F33=0),L33/H33)))))))</t>
  </si>
  <si>
    <t>=SUBTOTAL(9,F17:F34)</t>
  </si>
  <si>
    <t>=SUBTOTAL(9,H17:H34)</t>
  </si>
  <si>
    <t>=SUBTOTAL(9,J17:J34)</t>
  </si>
  <si>
    <t>=F35-H35</t>
  </si>
  <si>
    <t>=IF(H35=0," ",IF(AND(H35&lt;0,F35&lt;0),-L35/H35,IF(AND(H35&lt;0,F35&gt;0),-L35/H35,IF(AND(H35&gt;0,F35&gt;0),L35/H35,IF(AND(H35&gt;0,F35&lt;0),L35/H35,IF(AND(H35&lt;0,F35=0),-L35/H35,IF(AND(H35&gt;0,F35=0),L35/H35)))))))</t>
  </si>
  <si>
    <t>=F55-H55</t>
  </si>
  <si>
    <t>=IF(H55=0," ",IF(AND(H55&lt;0,F55&lt;0),L55/H55,IF(AND(H55&lt;0,F55&gt;0),L55/H55,IF(AND(H55&gt;0,F55&gt;0),-L55/H55,IF(AND(H55&gt;0,F55&lt;0),-L55/H55,IF(AND(H55&lt;0,F55=0),L55/H55,IF(AND(H55&gt;0,F55=0),-L55/H55)))))))</t>
  </si>
  <si>
    <t>="""NAV2018"",""ALSA Live"",""15"",""1"",""72600"""</t>
  </si>
  <si>
    <t>=SUBTOTAL(9,F38:F57)</t>
  </si>
  <si>
    <t>=SUBTOTAL(9,H38:H57)</t>
  </si>
  <si>
    <t>=SUBTOTAL(9,J38:J57)</t>
  </si>
  <si>
    <t>=F58-H58</t>
  </si>
  <si>
    <t>=IF(H58=0," ",IF(AND(H58&lt;0,F58&lt;0),L58/H58,IF(AND(H58&lt;0,F58&gt;0),L58/H58,IF(AND(H58&gt;0,F58&gt;0),-L58/H58,IF(AND(H58&gt;0,F58&lt;0),-L58/H58,IF(AND(H58&lt;0,F58=0),L58/H58,IF(AND(H58&gt;0,F58=0),-L58/H58)))))))</t>
  </si>
  <si>
    <t>=F98-H98</t>
  </si>
  <si>
    <t>=IF(H98=0," ",IF(AND(H98&lt;0,F98&lt;0),L98/H98,IF(AND(H98&lt;0,F98&gt;0),L98/H98,IF(AND(H98&gt;0,F98&gt;0),-L98/H98,IF(AND(H98&gt;0,F98&lt;0),-L98/H98,IF(AND(H98&lt;0,F98=0),L98/H98,IF(AND(H98&gt;0,F98=0),-L98/H98)))))))</t>
  </si>
  <si>
    <t>=SUBTOTAL(9,F61:F100)</t>
  </si>
  <si>
    <t>=SUBTOTAL(9,H61:H100)</t>
  </si>
  <si>
    <t>=SUBTOTAL(9,J61:J100)</t>
  </si>
  <si>
    <t>=IF(H101=0," ",IF(AND(H101&lt;0,F101&lt;0),L101/H101,IF(AND(H101&lt;0,F101&gt;0),L101/H101,IF(AND(H101&gt;0,F101&gt;0),-L101/H101,IF(AND(H101&gt;0,F101&lt;0),-L101/H101,IF(AND(H101&lt;0,F101=0),L101/H101,IF(AND(H101&gt;0,F101=0),-L101/H101)))))))</t>
  </si>
  <si>
    <t>=SUBTOTAL(9,F38:F101)</t>
  </si>
  <si>
    <t>=SUBTOTAL(9,H38:H101)</t>
  </si>
  <si>
    <t>=SUBTOTAL(9,J38:J101)</t>
  </si>
  <si>
    <t>=SUBTOTAL(9,F17:F103)</t>
  </si>
  <si>
    <t>=SUBTOTAL(9,H17:H103)</t>
  </si>
  <si>
    <t>=SUBTOTAL(9,J17:J103)</t>
  </si>
  <si>
    <t>=F105-H105</t>
  </si>
  <si>
    <t>=IF(H105=0," ",IF(AND(H105&lt;0,F105&lt;0),-L105/H105,IF(AND(H105&lt;0,F105&gt;0),-L105/H105,IF(AND(H105&gt;0,F105&gt;0),L105/H105,IF(AND(H105&gt;0,F105&lt;0),L105/H105,IF(AND(H105&lt;0,F105=0),-L105/H105,IF(AND(H105&gt;0,F105=0),L105/H105)))))))</t>
  </si>
  <si>
    <t>=F108-F105</t>
  </si>
  <si>
    <t>=H108-H105</t>
  </si>
  <si>
    <t>=J108-J105</t>
  </si>
  <si>
    <t>=NF(C33,"No.")</t>
  </si>
  <si>
    <t>=NF(C33,"Name")</t>
  </si>
  <si>
    <t>=NF(C55,"No.")</t>
  </si>
  <si>
    <t>=NF(C56,"No.")</t>
  </si>
  <si>
    <t>=NF(C55,"Name")</t>
  </si>
  <si>
    <t>=NF(C56,"Name")</t>
  </si>
  <si>
    <t>=NF(C98,"No.")</t>
  </si>
  <si>
    <t>=NF(C99,"No.")</t>
  </si>
  <si>
    <t>=NF(C98,"Name")</t>
  </si>
  <si>
    <t>=NF(C99,"Name")</t>
  </si>
  <si>
    <t>=-GL("Balance",$D17,$F$3,$F$4,,)</t>
  </si>
  <si>
    <t>=GL("Budget",$D17,$H$3,$H$4,,)</t>
  </si>
  <si>
    <t>=-GL("Balance",$D17,$J$3,$J$4,,)</t>
  </si>
  <si>
    <t>=-GL("Balance",$D22,$F$3,$F$4,,)</t>
  </si>
  <si>
    <t>=GL("Budget",$D22,$H$3,$H$4,,)</t>
  </si>
  <si>
    <t>=-GL("Balance",$D22,$J$3,$J$4,,)</t>
  </si>
  <si>
    <t>=-GL("Balance",$D27,$F$3,$F$4,,)</t>
  </si>
  <si>
    <t>=GL("Budget",$D27,$H$3,$H$4,,)</t>
  </si>
  <si>
    <t>=-GL("Balance",$D27,$J$3,$J$4,,)</t>
  </si>
  <si>
    <t>=-GL("Balance",$D28,$F$3,$F$4,,)</t>
  </si>
  <si>
    <t>=GL("Budget",$D28,$H$3,$H$4,,)</t>
  </si>
  <si>
    <t>=-GL("Balance",$D28,$J$3,$J$4,,)</t>
  </si>
  <si>
    <t>=-GL("Balance",$D37,$F$3,$F$4,,)</t>
  </si>
  <si>
    <t>=GL("Budget",$D37,$H$3,$H$4,,)</t>
  </si>
  <si>
    <t>=-GL("Balance",$D37,$J$3,$J$4,,)</t>
  </si>
  <si>
    <t>=-GL("Balance",$D18,$F$3,$F$4,,)</t>
  </si>
  <si>
    <t>=GL("Budget",$D18,$H$3,$H$4,,)</t>
  </si>
  <si>
    <t>=-GL("Balance",$D18,$J$3,$J$4,,)</t>
  </si>
  <si>
    <t>=-GL("Balance",$D19,$F$3,$F$4,,)</t>
  </si>
  <si>
    <t>=GL("Budget",$D19,$H$3,$H$4,,)</t>
  </si>
  <si>
    <t>=-GL("Balance",$D19,$J$3,$J$4,,)</t>
  </si>
  <si>
    <t>=-GL("Balance",$D20,$F$3,$F$4,,)</t>
  </si>
  <si>
    <t>=GL("Budget",$D20,$H$3,$H$4,,)</t>
  </si>
  <si>
    <t>=-GL("Balance",$D20,$J$3,$J$4,,)</t>
  </si>
  <si>
    <t>=-GL("Balance",$D21,$F$3,$F$4,,)</t>
  </si>
  <si>
    <t>=GL("Budget",$D21,$H$3,$H$4,,)</t>
  </si>
  <si>
    <t>=-GL("Balance",$D21,$J$3,$J$4,,)</t>
  </si>
  <si>
    <t>=-GL("Balance",$D23,$F$3,$F$4,,)</t>
  </si>
  <si>
    <t>=GL("Budget",$D23,$H$3,$H$4,,)</t>
  </si>
  <si>
    <t>=-GL("Balance",$D23,$J$3,$J$4,,)</t>
  </si>
  <si>
    <t>=-GL("Balance",$D24,$F$3,$F$4,,)</t>
  </si>
  <si>
    <t>=GL("Budget",$D24,$H$3,$H$4,,)</t>
  </si>
  <si>
    <t>=-GL("Balance",$D24,$J$3,$J$4,,)</t>
  </si>
  <si>
    <t>=-GL("Balance",$D25,$F$3,$F$4,,)</t>
  </si>
  <si>
    <t>=GL("Budget",$D25,$H$3,$H$4,,)</t>
  </si>
  <si>
    <t>=-GL("Balance",$D25,$J$3,$J$4,,)</t>
  </si>
  <si>
    <t>=-GL("Balance",$D26,$F$3,$F$4,,)</t>
  </si>
  <si>
    <t>=GL("Budget",$D26,$H$3,$H$4,,)</t>
  </si>
  <si>
    <t>=-GL("Balance",$D26,$J$3,$J$4,,)</t>
  </si>
  <si>
    <t>=-GL("Balance",$D29,$F$3,$F$4,,)</t>
  </si>
  <si>
    <t>=GL("Budget",$D29,$H$3,$H$4,,)</t>
  </si>
  <si>
    <t>=-GL("Balance",$D29,$J$3,$J$4,,)</t>
  </si>
  <si>
    <t>=-GL("Balance",$D30,$F$3,$F$4,,)</t>
  </si>
  <si>
    <t>=GL("Budget",$D30,$H$3,$H$4,,)</t>
  </si>
  <si>
    <t>=-GL("Balance",$D30,$J$3,$J$4,,)</t>
  </si>
  <si>
    <t>=-GL("Balance",$D31,$F$3,$F$4,,)</t>
  </si>
  <si>
    <t>=GL("Budget",$D31,$H$3,$H$4,,)</t>
  </si>
  <si>
    <t>=-GL("Balance",$D31,$J$3,$J$4,,)</t>
  </si>
  <si>
    <t>=-GL("Balance",$D32,$F$3,$F$4,,)</t>
  </si>
  <si>
    <t>=GL("Budget",$D32,$H$3,$H$4,,)</t>
  </si>
  <si>
    <t>=-GL("Balance",$D32,$J$3,$J$4,,)</t>
  </si>
  <si>
    <t>=-GL("Balance",$D33,$F$3,$F$4,,)</t>
  </si>
  <si>
    <t>=GL("Budget",$D33,$H$3,$H$4,,)</t>
  </si>
  <si>
    <t>=-GL("Balance",$D33,$J$3,$J$4,,)</t>
  </si>
  <si>
    <t>=-GL("Balance",$D38,$F$3,$F$4,,)</t>
  </si>
  <si>
    <t>=GL("Budget",$D38,$H$3,$H$4,,)</t>
  </si>
  <si>
    <t>=-GL("Balance",$D38,$J$3,$J$4,,)</t>
  </si>
  <si>
    <t>=-GL("Balance",$D39,$F$3,$F$4,,)</t>
  </si>
  <si>
    <t>=GL("Budget",$D39,$H$3,$H$4,,)</t>
  </si>
  <si>
    <t>=-GL("Balance",$D39,$J$3,$J$4,,)</t>
  </si>
  <si>
    <t>=-GL("Balance",$D40,$F$3,$F$4,,)</t>
  </si>
  <si>
    <t>=GL("Budget",$D40,$H$3,$H$4,,)</t>
  </si>
  <si>
    <t>=-GL("Balance",$D40,$J$3,$J$4,,)</t>
  </si>
  <si>
    <t>=-GL("Balance",$D41,$F$3,$F$4,,)</t>
  </si>
  <si>
    <t>=GL("Budget",$D41,$H$3,$H$4,,)</t>
  </si>
  <si>
    <t>=-GL("Balance",$D41,$J$3,$J$4,,)</t>
  </si>
  <si>
    <t>=-GL("Balance",$D42,$F$3,$F$4,,)</t>
  </si>
  <si>
    <t>=GL("Budget",$D42,$H$3,$H$4,,)</t>
  </si>
  <si>
    <t>=-GL("Balance",$D42,$J$3,$J$4,,)</t>
  </si>
  <si>
    <t>=-GL("Balance",$D43,$F$3,$F$4,,)</t>
  </si>
  <si>
    <t>=GL("Budget",$D43,$H$3,$H$4,,)</t>
  </si>
  <si>
    <t>=-GL("Balance",$D43,$J$3,$J$4,,)</t>
  </si>
  <si>
    <t>=-GL("Balance",$D44,$F$3,$F$4,,)</t>
  </si>
  <si>
    <t>=GL("Budget",$D44,$H$3,$H$4,,)</t>
  </si>
  <si>
    <t>=-GL("Balance",$D44,$J$3,$J$4,,)</t>
  </si>
  <si>
    <t>=-GL("Balance",$D45,$F$3,$F$4,,)</t>
  </si>
  <si>
    <t>=GL("Budget",$D45,$H$3,$H$4,,)</t>
  </si>
  <si>
    <t>=-GL("Balance",$D45,$J$3,$J$4,,)</t>
  </si>
  <si>
    <t>=-GL("Balance",$D46,$F$3,$F$4,,)</t>
  </si>
  <si>
    <t>=GL("Budget",$D46,$H$3,$H$4,,)</t>
  </si>
  <si>
    <t>=-GL("Balance",$D46,$J$3,$J$4,,)</t>
  </si>
  <si>
    <t>=-GL("Balance",$D47,$F$3,$F$4,,)</t>
  </si>
  <si>
    <t>=GL("Budget",$D47,$H$3,$H$4,,)</t>
  </si>
  <si>
    <t>=-GL("Balance",$D47,$J$3,$J$4,,)</t>
  </si>
  <si>
    <t>=-GL("Balance",$D48,$F$3,$F$4,,)</t>
  </si>
  <si>
    <t>=GL("Budget",$D48,$H$3,$H$4,,)</t>
  </si>
  <si>
    <t>=-GL("Balance",$D48,$J$3,$J$4,,)</t>
  </si>
  <si>
    <t>=-GL("Balance",$D49,$F$3,$F$4,,)</t>
  </si>
  <si>
    <t>=GL("Budget",$D49,$H$3,$H$4,,)</t>
  </si>
  <si>
    <t>=-GL("Balance",$D49,$J$3,$J$4,,)</t>
  </si>
  <si>
    <t>=-GL("Balance",$D50,$F$3,$F$4,,)</t>
  </si>
  <si>
    <t>=GL("Budget",$D50,$H$3,$H$4,,)</t>
  </si>
  <si>
    <t>=-GL("Balance",$D50,$J$3,$J$4,,)</t>
  </si>
  <si>
    <t>=-GL("Balance",$D51,$F$3,$F$4,,)</t>
  </si>
  <si>
    <t>=GL("Budget",$D51,$H$3,$H$4,,)</t>
  </si>
  <si>
    <t>=-GL("Balance",$D51,$J$3,$J$4,,)</t>
  </si>
  <si>
    <t>=-GL("Balance",$D52,$F$3,$F$4,,)</t>
  </si>
  <si>
    <t>=GL("Budget",$D52,$H$3,$H$4,,)</t>
  </si>
  <si>
    <t>=-GL("Balance",$D52,$J$3,$J$4,,)</t>
  </si>
  <si>
    <t>=-GL("Balance",$D53,$F$3,$F$4,,)</t>
  </si>
  <si>
    <t>=GL("Budget",$D53,$H$3,$H$4,,)</t>
  </si>
  <si>
    <t>=-GL("Balance",$D53,$J$3,$J$4,,)</t>
  </si>
  <si>
    <t>=-GL("Balance",$D54,$F$3,$F$4,,)</t>
  </si>
  <si>
    <t>=GL("Budget",$D54,$H$3,$H$4,,)</t>
  </si>
  <si>
    <t>=-GL("Balance",$D54,$J$3,$J$4,,)</t>
  </si>
  <si>
    <t>=-GL("Balance",$D55,$F$3,$F$4,,)</t>
  </si>
  <si>
    <t>=GL("Budget",$D55,$H$3,$H$4,,)</t>
  </si>
  <si>
    <t>=-GL("Balance",$D55,$J$3,$J$4,,)</t>
  </si>
  <si>
    <t>=-GL("Balance",$D56,$F$3,$F$4,,)</t>
  </si>
  <si>
    <t>=GL("Budget",$D56,$H$3,$H$4,,)</t>
  </si>
  <si>
    <t>=-GL("Balance",$D56,$J$3,$J$4,,)</t>
  </si>
  <si>
    <t>=-GL("Balance",$D61,$F$3,$F$4,,)</t>
  </si>
  <si>
    <t>=GL("Budget",$D61,$H$3,$H$4,,)</t>
  </si>
  <si>
    <t>=-GL("Balance",$D61,$J$3,$J$4,,)</t>
  </si>
  <si>
    <t>=-GL("Balance",$D62,$F$3,$F$4,,)</t>
  </si>
  <si>
    <t>=GL("Budget",$D62,$H$3,$H$4,,)</t>
  </si>
  <si>
    <t>=-GL("Balance",$D62,$J$3,$J$4,,)</t>
  </si>
  <si>
    <t>=-GL("Balance",$D63,$F$3,$F$4,,)</t>
  </si>
  <si>
    <t>=GL("Budget",$D63,$H$3,$H$4,,)</t>
  </si>
  <si>
    <t>=-GL("Balance",$D63,$J$3,$J$4,,)</t>
  </si>
  <si>
    <t>=-GL("Balance",$D64,$F$3,$F$4,,)</t>
  </si>
  <si>
    <t>=GL("Budget",$D64,$H$3,$H$4,,)</t>
  </si>
  <si>
    <t>=-GL("Balance",$D64,$J$3,$J$4,,)</t>
  </si>
  <si>
    <t>=-GL("Balance",$D65,$F$3,$F$4,,)</t>
  </si>
  <si>
    <t>=GL("Budget",$D65,$H$3,$H$4,,)</t>
  </si>
  <si>
    <t>=-GL("Balance",$D65,$J$3,$J$4,,)</t>
  </si>
  <si>
    <t>=-GL("Balance",$D66,$F$3,$F$4,,)</t>
  </si>
  <si>
    <t>=GL("Budget",$D66,$H$3,$H$4,,)</t>
  </si>
  <si>
    <t>=-GL("Balance",$D66,$J$3,$J$4,,)</t>
  </si>
  <si>
    <t>=-GL("Balance",$D67,$F$3,$F$4,,)</t>
  </si>
  <si>
    <t>=GL("Budget",$D67,$H$3,$H$4,,)</t>
  </si>
  <si>
    <t>=-GL("Balance",$D67,$J$3,$J$4,,)</t>
  </si>
  <si>
    <t>=-GL("Balance",$D68,$F$3,$F$4,,)</t>
  </si>
  <si>
    <t>=GL("Budget",$D68,$H$3,$H$4,,)</t>
  </si>
  <si>
    <t>=-GL("Balance",$D68,$J$3,$J$4,,)</t>
  </si>
  <si>
    <t>=-GL("Balance",$D69,$F$3,$F$4,,)</t>
  </si>
  <si>
    <t>=GL("Budget",$D69,$H$3,$H$4,,)</t>
  </si>
  <si>
    <t>=-GL("Balance",$D69,$J$3,$J$4,,)</t>
  </si>
  <si>
    <t>=-GL("Balance",$D70,$F$3,$F$4,,)</t>
  </si>
  <si>
    <t>=GL("Budget",$D70,$H$3,$H$4,,)</t>
  </si>
  <si>
    <t>=-GL("Balance",$D70,$J$3,$J$4,,)</t>
  </si>
  <si>
    <t>=-GL("Balance",$D71,$F$3,$F$4,,)</t>
  </si>
  <si>
    <t>=GL("Budget",$D71,$H$3,$H$4,,)</t>
  </si>
  <si>
    <t>=-GL("Balance",$D71,$J$3,$J$4,,)</t>
  </si>
  <si>
    <t>=-GL("Balance",$D72,$F$3,$F$4,,)</t>
  </si>
  <si>
    <t>=GL("Budget",$D72,$H$3,$H$4,,)</t>
  </si>
  <si>
    <t>=-GL("Balance",$D72,$J$3,$J$4,,)</t>
  </si>
  <si>
    <t>=-GL("Balance",$D73,$F$3,$F$4,,)</t>
  </si>
  <si>
    <t>=GL("Budget",$D73,$H$3,$H$4,,)</t>
  </si>
  <si>
    <t>=-GL("Balance",$D73,$J$3,$J$4,,)</t>
  </si>
  <si>
    <t>=-GL("Balance",$D74,$F$3,$F$4,,)</t>
  </si>
  <si>
    <t>=GL("Budget",$D74,$H$3,$H$4,,)</t>
  </si>
  <si>
    <t>=-GL("Balance",$D74,$J$3,$J$4,,)</t>
  </si>
  <si>
    <t>=-GL("Balance",$D75,$F$3,$F$4,,)</t>
  </si>
  <si>
    <t>=GL("Budget",$D75,$H$3,$H$4,,)</t>
  </si>
  <si>
    <t>=-GL("Balance",$D75,$J$3,$J$4,,)</t>
  </si>
  <si>
    <t>=-GL("Balance",$D76,$F$3,$F$4,,)</t>
  </si>
  <si>
    <t>=GL("Budget",$D76,$H$3,$H$4,,)</t>
  </si>
  <si>
    <t>=-GL("Balance",$D76,$J$3,$J$4,,)</t>
  </si>
  <si>
    <t>=-GL("Balance",$D77,$F$3,$F$4,,)</t>
  </si>
  <si>
    <t>=GL("Budget",$D77,$H$3,$H$4,,)</t>
  </si>
  <si>
    <t>=-GL("Balance",$D77,$J$3,$J$4,,)</t>
  </si>
  <si>
    <t>=-GL("Balance",$D78,$F$3,$F$4,,)</t>
  </si>
  <si>
    <t>=GL("Budget",$D78,$H$3,$H$4,,)</t>
  </si>
  <si>
    <t>=-GL("Balance",$D78,$J$3,$J$4,,)</t>
  </si>
  <si>
    <t>=-GL("Balance",$D79,$F$3,$F$4,,)</t>
  </si>
  <si>
    <t>=GL("Budget",$D79,$H$3,$H$4,,)</t>
  </si>
  <si>
    <t>=-GL("Balance",$D79,$J$3,$J$4,,)</t>
  </si>
  <si>
    <t>=-GL("Balance",$D80,$F$3,$F$4,,)</t>
  </si>
  <si>
    <t>=GL("Budget",$D80,$H$3,$H$4,,)</t>
  </si>
  <si>
    <t>=-GL("Balance",$D80,$J$3,$J$4,,)</t>
  </si>
  <si>
    <t>=-GL("Balance",$D81,$F$3,$F$4,,)</t>
  </si>
  <si>
    <t>=GL("Budget",$D81,$H$3,$H$4,,)</t>
  </si>
  <si>
    <t>=-GL("Balance",$D81,$J$3,$J$4,,)</t>
  </si>
  <si>
    <t>=-GL("Balance",$D82,$F$3,$F$4,,)</t>
  </si>
  <si>
    <t>=GL("Budget",$D82,$H$3,$H$4,,)</t>
  </si>
  <si>
    <t>=-GL("Balance",$D82,$J$3,$J$4,,)</t>
  </si>
  <si>
    <t>=-GL("Balance",$D83,$F$3,$F$4,,)</t>
  </si>
  <si>
    <t>=GL("Budget",$D83,$H$3,$H$4,,)</t>
  </si>
  <si>
    <t>=-GL("Balance",$D83,$J$3,$J$4,,)</t>
  </si>
  <si>
    <t>=-GL("Balance",$D84,$F$3,$F$4,,)</t>
  </si>
  <si>
    <t>=GL("Budget",$D84,$H$3,$H$4,,)</t>
  </si>
  <si>
    <t>=-GL("Balance",$D84,$J$3,$J$4,,)</t>
  </si>
  <si>
    <t>=-GL("Balance",$D85,$F$3,$F$4,,)</t>
  </si>
  <si>
    <t>=GL("Budget",$D85,$H$3,$H$4,,)</t>
  </si>
  <si>
    <t>=-GL("Balance",$D85,$J$3,$J$4,,)</t>
  </si>
  <si>
    <t>=-GL("Balance",$D86,$F$3,$F$4,,)</t>
  </si>
  <si>
    <t>=GL("Budget",$D86,$H$3,$H$4,,)</t>
  </si>
  <si>
    <t>=-GL("Balance",$D86,$J$3,$J$4,,)</t>
  </si>
  <si>
    <t>=-GL("Balance",$D87,$F$3,$F$4,,)</t>
  </si>
  <si>
    <t>=GL("Budget",$D87,$H$3,$H$4,,)</t>
  </si>
  <si>
    <t>=-GL("Balance",$D87,$J$3,$J$4,,)</t>
  </si>
  <si>
    <t>=-GL("Balance",$D88,$F$3,$F$4,,)</t>
  </si>
  <si>
    <t>=GL("Budget",$D88,$H$3,$H$4,,)</t>
  </si>
  <si>
    <t>=-GL("Balance",$D88,$J$3,$J$4,,)</t>
  </si>
  <si>
    <t>=-GL("Balance",$D89,$F$3,$F$4,,)</t>
  </si>
  <si>
    <t>=GL("Budget",$D89,$H$3,$H$4,,)</t>
  </si>
  <si>
    <t>=-GL("Balance",$D89,$J$3,$J$4,,)</t>
  </si>
  <si>
    <t>=-GL("Balance",$D90,$F$3,$F$4,,)</t>
  </si>
  <si>
    <t>=GL("Budget",$D90,$H$3,$H$4,,)</t>
  </si>
  <si>
    <t>=-GL("Balance",$D90,$J$3,$J$4,,)</t>
  </si>
  <si>
    <t>=-GL("Balance",$D91,$F$3,$F$4,,)</t>
  </si>
  <si>
    <t>=GL("Budget",$D91,$H$3,$H$4,,)</t>
  </si>
  <si>
    <t>=-GL("Balance",$D91,$J$3,$J$4,,)</t>
  </si>
  <si>
    <t>=-GL("Balance",$D92,$F$3,$F$4,,)</t>
  </si>
  <si>
    <t>=GL("Budget",$D92,$H$3,$H$4,,)</t>
  </si>
  <si>
    <t>=-GL("Balance",$D92,$J$3,$J$4,,)</t>
  </si>
  <si>
    <t>=-GL("Balance",$D93,$F$3,$F$4,,)</t>
  </si>
  <si>
    <t>=GL("Budget",$D93,$H$3,$H$4,,)</t>
  </si>
  <si>
    <t>=-GL("Balance",$D93,$J$3,$J$4,,)</t>
  </si>
  <si>
    <t>=-GL("Balance",$D94,$F$3,$F$4,,)</t>
  </si>
  <si>
    <t>=GL("Budget",$D94,$H$3,$H$4,,)</t>
  </si>
  <si>
    <t>=-GL("Balance",$D94,$J$3,$J$4,,)</t>
  </si>
  <si>
    <t>=-GL("Balance",$D95,$F$3,$F$4,,)</t>
  </si>
  <si>
    <t>=GL("Budget",$D95,$H$3,$H$4,,)</t>
  </si>
  <si>
    <t>=-GL("Balance",$D95,$J$3,$J$4,,)</t>
  </si>
  <si>
    <t>=-GL("Balance",$D96,$F$3,$F$4,,)</t>
  </si>
  <si>
    <t>=GL("Budget",$D96,$H$3,$H$4,,)</t>
  </si>
  <si>
    <t>=-GL("Balance",$D96,$J$3,$J$4,,)</t>
  </si>
  <si>
    <t>=-GL("Balance",$D97,$F$3,$F$4,,)</t>
  </si>
  <si>
    <t>=GL("Budget",$D97,$H$3,$H$4,,)</t>
  </si>
  <si>
    <t>=-GL("Balance",$D97,$J$3,$J$4,,)</t>
  </si>
  <si>
    <t>=-GL("Balance",$D98,$F$3,$F$4,,)</t>
  </si>
  <si>
    <t>=GL("Budget",$D98,$H$3,$H$4,,)</t>
  </si>
  <si>
    <t>=-GL("Balance",$D98,$J$3,$J$4,,)</t>
  </si>
  <si>
    <t>=-GL("Balance",$D99,$F$3,$F$4,,)</t>
  </si>
  <si>
    <t>=GL("Budget",$D99,$H$3,$H$4,,)</t>
  </si>
  <si>
    <t>=-GL("Balance",$D99,$J$3,$J$4,,)</t>
  </si>
  <si>
    <t>=-GL("Balance",$D108,$F$3,$F$4,,)</t>
  </si>
  <si>
    <t>=GL("Budget",$D108,$H$3,$H$4,,)</t>
  </si>
  <si>
    <t>=-GL("Balance",$D108,$J$3,$J$4,,)</t>
  </si>
  <si>
    <t>Auto+Hide+Lock+Formulas=Sheet4,Sheet1,Sheet2</t>
  </si>
  <si>
    <t>Auto+Hide+Lock+Formulas=Sheet4,Sheet1,Sheet2+FormulasOnly</t>
  </si>
  <si>
    <t>1/1/2019..12/31/2019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</si>
</sst>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4" fillId="2" borderId="6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5" fillId="0" borderId="0" xfId="0" applyFont="1"/>
    <xf numFmtId="0" fontId="6" fillId="0" borderId="0" xfId="0" applyFont="1"/>
    <xf numFmtId="164" fontId="5" fillId="0" borderId="0" xfId="0" applyNumberFormat="1" applyFont="1"/>
    <xf numFmtId="0" fontId="2" fillId="2" borderId="10" xfId="0" applyFont="1" applyFill="1" applyBorder="1" applyAlignment="1">
      <alignment horizontal="center"/>
    </xf>
    <xf numFmtId="14" fontId="5" fillId="0" borderId="0" xfId="0" applyNumberFormat="1" applyFont="1"/>
    <xf numFmtId="0" fontId="7" fillId="0" borderId="0" xfId="0" applyFont="1"/>
    <xf numFmtId="44" fontId="5" fillId="0" borderId="0" xfId="1" applyFont="1"/>
    <xf numFmtId="44" fontId="5" fillId="0" borderId="10" xfId="1" applyFont="1" applyBorder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/>
    <xf numFmtId="44" fontId="5" fillId="0" borderId="11" xfId="1" applyFont="1" applyBorder="1"/>
    <xf numFmtId="44" fontId="5" fillId="0" borderId="0" xfId="1" applyFont="1" applyBorder="1"/>
    <xf numFmtId="0" fontId="9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14" fontId="2" fillId="2" borderId="10" xfId="0" applyNumberFormat="1" applyFont="1" applyFill="1" applyBorder="1" applyAlignment="1">
      <alignment horizontal="center"/>
    </xf>
    <xf numFmtId="44" fontId="5" fillId="0" borderId="0" xfId="0" applyNumberFormat="1" applyFont="1"/>
    <xf numFmtId="0" fontId="6" fillId="0" borderId="0" xfId="0" applyFont="1" applyAlignment="1">
      <alignment horizontal="left"/>
    </xf>
    <xf numFmtId="14" fontId="5" fillId="0" borderId="0" xfId="0" applyNumberFormat="1" applyFont="1" applyFill="1" applyBorder="1" applyAlignment="1">
      <alignment horizontal="center"/>
    </xf>
    <xf numFmtId="14" fontId="6" fillId="0" borderId="0" xfId="0" applyNumberFormat="1" applyFont="1" applyAlignment="1">
      <alignment horizontal="center" vertical="top"/>
    </xf>
    <xf numFmtId="9" fontId="5" fillId="0" borderId="0" xfId="2" applyFont="1" applyAlignment="1">
      <alignment horizontal="center"/>
    </xf>
    <xf numFmtId="44" fontId="5" fillId="0" borderId="10" xfId="0" applyNumberFormat="1" applyFont="1" applyBorder="1"/>
    <xf numFmtId="9" fontId="5" fillId="0" borderId="10" xfId="2" applyFont="1" applyBorder="1" applyAlignment="1">
      <alignment horizontal="center"/>
    </xf>
    <xf numFmtId="44" fontId="5" fillId="0" borderId="11" xfId="0" applyNumberFormat="1" applyFont="1" applyBorder="1"/>
    <xf numFmtId="9" fontId="5" fillId="0" borderId="11" xfId="2" applyFont="1" applyBorder="1" applyAlignment="1">
      <alignment horizontal="center"/>
    </xf>
    <xf numFmtId="0" fontId="1" fillId="2" borderId="0" xfId="0" applyFont="1" applyFill="1" applyBorder="1"/>
    <xf numFmtId="14" fontId="1" fillId="2" borderId="10" xfId="0" applyNumberFormat="1" applyFont="1" applyFill="1" applyBorder="1" applyAlignment="1">
      <alignment horizontal="center"/>
    </xf>
    <xf numFmtId="0" fontId="0" fillId="0" borderId="0" xfId="0" quotePrefix="1"/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6"/>
  <sheetViews>
    <sheetView topLeftCell="A3" workbookViewId="0">
      <selection activeCell="D9" sqref="D9"/>
    </sheetView>
  </sheetViews>
  <sheetFormatPr defaultColWidth="9.140625" defaultRowHeight="12.75" x14ac:dyDescent="0.2"/>
  <cols>
    <col min="1" max="1" width="9.140625" style="1" hidden="1" customWidth="1"/>
    <col min="2" max="2" width="21.5703125" style="1" customWidth="1"/>
    <col min="3" max="3" width="22.5703125" style="1" customWidth="1"/>
    <col min="4" max="4" width="22.85546875" style="1" customWidth="1"/>
    <col min="5" max="16384" width="9.140625" style="1"/>
  </cols>
  <sheetData>
    <row r="1" spans="1:7" hidden="1" x14ac:dyDescent="0.2">
      <c r="A1" s="1" t="s">
        <v>10</v>
      </c>
    </row>
    <row r="2" spans="1:7" x14ac:dyDescent="0.2">
      <c r="B2" s="44" t="s">
        <v>13</v>
      </c>
      <c r="C2" s="45"/>
      <c r="D2" s="45"/>
      <c r="E2" s="45"/>
      <c r="F2" s="45"/>
      <c r="G2" s="45"/>
    </row>
    <row r="3" spans="1:7" x14ac:dyDescent="0.2">
      <c r="B3" s="2"/>
      <c r="C3" s="3"/>
      <c r="D3" s="3"/>
      <c r="E3" s="3"/>
      <c r="F3" s="3"/>
      <c r="G3" s="4"/>
    </row>
    <row r="4" spans="1:7" x14ac:dyDescent="0.2">
      <c r="B4" s="5"/>
      <c r="C4" s="6"/>
      <c r="D4" s="6"/>
      <c r="E4" s="6"/>
      <c r="F4" s="6"/>
      <c r="G4" s="7"/>
    </row>
    <row r="5" spans="1:7" x14ac:dyDescent="0.2">
      <c r="B5" s="5"/>
      <c r="C5" s="6"/>
      <c r="D5" s="6"/>
      <c r="E5" s="6"/>
      <c r="F5" s="6"/>
      <c r="G5" s="7"/>
    </row>
    <row r="6" spans="1:7" ht="15.75" thickBot="1" x14ac:dyDescent="0.3">
      <c r="B6" s="5"/>
      <c r="C6" s="8" t="s">
        <v>9</v>
      </c>
      <c r="D6" s="9"/>
      <c r="E6" s="6"/>
      <c r="F6" s="6"/>
      <c r="G6" s="7"/>
    </row>
    <row r="7" spans="1:7" x14ac:dyDescent="0.2">
      <c r="B7" s="5"/>
      <c r="C7" s="41" t="s">
        <v>362</v>
      </c>
      <c r="D7" s="31">
        <v>43466</v>
      </c>
      <c r="E7" s="6"/>
      <c r="F7" s="6"/>
      <c r="G7" s="7"/>
    </row>
    <row r="8" spans="1:7" x14ac:dyDescent="0.2">
      <c r="B8" s="5"/>
      <c r="C8" s="41" t="s">
        <v>363</v>
      </c>
      <c r="D8" s="42">
        <v>43830</v>
      </c>
      <c r="E8" s="6"/>
      <c r="F8" s="6"/>
      <c r="G8" s="7"/>
    </row>
    <row r="9" spans="1:7" x14ac:dyDescent="0.2">
      <c r="B9" s="5"/>
      <c r="D9" s="16"/>
      <c r="E9" s="6"/>
      <c r="F9" s="6"/>
      <c r="G9" s="7"/>
    </row>
    <row r="10" spans="1:7" x14ac:dyDescent="0.2">
      <c r="B10" s="5"/>
      <c r="C10" s="6"/>
      <c r="D10" s="16"/>
      <c r="E10" s="6"/>
      <c r="F10" s="6"/>
      <c r="G10" s="7"/>
    </row>
    <row r="11" spans="1:7" x14ac:dyDescent="0.2">
      <c r="B11" s="5"/>
      <c r="C11" s="6"/>
      <c r="D11" s="6"/>
      <c r="E11" s="6"/>
      <c r="F11" s="6"/>
      <c r="G11" s="7"/>
    </row>
    <row r="12" spans="1:7" x14ac:dyDescent="0.2">
      <c r="B12" s="5"/>
      <c r="C12" s="6"/>
      <c r="D12" s="6"/>
      <c r="E12" s="6"/>
      <c r="F12" s="6"/>
      <c r="G12" s="7"/>
    </row>
    <row r="13" spans="1:7" x14ac:dyDescent="0.2">
      <c r="B13" s="5"/>
      <c r="C13" s="6"/>
      <c r="D13" s="6"/>
      <c r="E13" s="6"/>
      <c r="F13" s="6"/>
      <c r="G13" s="7"/>
    </row>
    <row r="14" spans="1:7" x14ac:dyDescent="0.2">
      <c r="B14" s="5"/>
      <c r="C14" s="6"/>
      <c r="D14" s="6"/>
      <c r="E14" s="6"/>
      <c r="F14" s="6"/>
      <c r="G14" s="7"/>
    </row>
    <row r="15" spans="1:7" x14ac:dyDescent="0.2">
      <c r="B15" s="5"/>
      <c r="C15" s="6"/>
      <c r="D15" s="6"/>
      <c r="E15" s="6"/>
      <c r="F15" s="6"/>
      <c r="G15" s="7"/>
    </row>
    <row r="16" spans="1:7" x14ac:dyDescent="0.2">
      <c r="B16" s="11"/>
      <c r="C16" s="10"/>
      <c r="D16" s="10"/>
      <c r="E16" s="10"/>
      <c r="F16" s="10"/>
      <c r="G16" s="12"/>
    </row>
  </sheetData>
  <mergeCells count="1">
    <mergeCell ref="B2:G2"/>
  </mergeCells>
  <phoneticPr fontId="0" type="noConversion"/>
  <pageMargins left="0.75" right="0.75" top="1" bottom="1" header="0.5" footer="0.5"/>
  <pageSetup orientation="landscape" r:id="rId1"/>
  <headerFooter alignWithMargins="0">
    <oddHeader>&amp;C&amp;"Arial,Bold"&amp;12&amp;F
&lt;&lt;Company Name&gt;&gt;&amp;R&amp;"Arial,Bold"&amp;8Date: &amp;D
Time: &amp;T
Page: &amp;P of &amp;N</oddHeader>
    <oddFooter>&amp;L&amp;"Arial,Italic"&amp;8Created by: Jet Reports 2005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110"/>
  <sheetViews>
    <sheetView tabSelected="1" topLeftCell="D57" workbookViewId="0">
      <selection activeCell="F84" sqref="F84"/>
    </sheetView>
  </sheetViews>
  <sheetFormatPr defaultColWidth="9.140625" defaultRowHeight="11.25" x14ac:dyDescent="0.2"/>
  <cols>
    <col min="1" max="1" width="9.140625" style="13" hidden="1" customWidth="1"/>
    <col min="2" max="2" width="18.28515625" style="13" hidden="1" customWidth="1"/>
    <col min="3" max="3" width="15.7109375" style="13" hidden="1" customWidth="1"/>
    <col min="4" max="4" width="10.42578125" style="13" bestFit="1" customWidth="1"/>
    <col min="5" max="5" width="33" style="13" customWidth="1"/>
    <col min="6" max="6" width="11.28515625" style="13" bestFit="1" customWidth="1"/>
    <col min="7" max="7" width="2.5703125" style="13" bestFit="1" customWidth="1"/>
    <col min="8" max="8" width="11.28515625" style="13" bestFit="1" customWidth="1"/>
    <col min="9" max="9" width="2.5703125" style="13" bestFit="1" customWidth="1"/>
    <col min="10" max="10" width="11.28515625" style="13" bestFit="1" customWidth="1"/>
    <col min="11" max="11" width="2.5703125" style="13" bestFit="1" customWidth="1"/>
    <col min="12" max="12" width="10.7109375" style="13" bestFit="1" customWidth="1"/>
    <col min="13" max="13" width="2.5703125" style="13" bestFit="1" customWidth="1"/>
    <col min="14" max="14" width="8.7109375" style="13" bestFit="1" customWidth="1"/>
    <col min="15" max="16384" width="9.140625" style="13"/>
  </cols>
  <sheetData>
    <row r="1" spans="1:14" hidden="1" x14ac:dyDescent="0.2">
      <c r="A1" s="13" t="s">
        <v>717</v>
      </c>
      <c r="B1" s="13" t="s">
        <v>4</v>
      </c>
      <c r="C1" s="13" t="s">
        <v>12</v>
      </c>
      <c r="D1" s="13" t="s">
        <v>17</v>
      </c>
      <c r="F1" s="13" t="s">
        <v>17</v>
      </c>
      <c r="G1" s="13" t="s">
        <v>17</v>
      </c>
      <c r="H1" s="13" t="s">
        <v>17</v>
      </c>
      <c r="I1" s="13" t="s">
        <v>17</v>
      </c>
      <c r="J1" s="13" t="s">
        <v>17</v>
      </c>
      <c r="K1" s="13" t="s">
        <v>17</v>
      </c>
      <c r="L1" s="13" t="s">
        <v>17</v>
      </c>
      <c r="M1" s="13" t="s">
        <v>17</v>
      </c>
      <c r="N1" s="13" t="s">
        <v>17</v>
      </c>
    </row>
    <row r="2" spans="1:14" hidden="1" x14ac:dyDescent="0.2">
      <c r="A2" s="13" t="s">
        <v>12</v>
      </c>
      <c r="B2" s="14" t="s">
        <v>11</v>
      </c>
    </row>
    <row r="3" spans="1:14" hidden="1" x14ac:dyDescent="0.2">
      <c r="A3" s="13" t="s">
        <v>12</v>
      </c>
      <c r="B3" s="13" t="s">
        <v>5</v>
      </c>
      <c r="C3" s="13" t="s">
        <v>26</v>
      </c>
      <c r="F3" s="17">
        <f>$C$7</f>
        <v>43466</v>
      </c>
      <c r="H3" s="17">
        <v>43466</v>
      </c>
      <c r="J3" s="17">
        <v>43101</v>
      </c>
    </row>
    <row r="4" spans="1:14" hidden="1" x14ac:dyDescent="0.2">
      <c r="A4" s="13" t="s">
        <v>12</v>
      </c>
      <c r="B4" s="13" t="s">
        <v>2</v>
      </c>
      <c r="C4" s="13" t="s">
        <v>27</v>
      </c>
      <c r="F4" s="17">
        <f>$C$8</f>
        <v>43830</v>
      </c>
      <c r="H4" s="17">
        <v>43830</v>
      </c>
      <c r="J4" s="17">
        <v>43465</v>
      </c>
    </row>
    <row r="5" spans="1:14" hidden="1" x14ac:dyDescent="0.2">
      <c r="A5" s="13" t="s">
        <v>12</v>
      </c>
      <c r="B5" s="13" t="s">
        <v>3</v>
      </c>
      <c r="C5" s="13" t="s">
        <v>28</v>
      </c>
      <c r="D5" s="13" t="s">
        <v>31</v>
      </c>
      <c r="F5" s="17"/>
      <c r="H5" s="17"/>
      <c r="J5" s="17"/>
    </row>
    <row r="6" spans="1:14" hidden="1" x14ac:dyDescent="0.2">
      <c r="A6" s="13" t="s">
        <v>12</v>
      </c>
      <c r="B6" s="13" t="s">
        <v>18</v>
      </c>
      <c r="C6" s="13" t="s">
        <v>20</v>
      </c>
    </row>
    <row r="7" spans="1:14" hidden="1" x14ac:dyDescent="0.2">
      <c r="A7" s="13" t="s">
        <v>12</v>
      </c>
      <c r="B7" s="13" t="s">
        <v>15</v>
      </c>
      <c r="C7" s="17">
        <v>43466</v>
      </c>
      <c r="E7" s="14" t="s">
        <v>14</v>
      </c>
    </row>
    <row r="8" spans="1:14" hidden="1" x14ac:dyDescent="0.2">
      <c r="A8" s="13" t="s">
        <v>12</v>
      </c>
      <c r="B8" s="13" t="s">
        <v>16</v>
      </c>
      <c r="C8" s="17">
        <v>43830</v>
      </c>
      <c r="E8" s="14" t="s">
        <v>719</v>
      </c>
      <c r="F8" s="17"/>
      <c r="H8" s="17"/>
      <c r="J8" s="17"/>
    </row>
    <row r="9" spans="1:14" hidden="1" x14ac:dyDescent="0.2">
      <c r="A9" s="13" t="s">
        <v>12</v>
      </c>
    </row>
    <row r="10" spans="1:14" hidden="1" x14ac:dyDescent="0.2">
      <c r="A10" s="13" t="s">
        <v>12</v>
      </c>
      <c r="K10" s="13" t="s">
        <v>23</v>
      </c>
    </row>
    <row r="11" spans="1:14" hidden="1" x14ac:dyDescent="0.2">
      <c r="A11" s="13" t="s">
        <v>12</v>
      </c>
      <c r="D11" s="18"/>
    </row>
    <row r="12" spans="1:14" ht="18" x14ac:dyDescent="0.25">
      <c r="D12" s="18"/>
      <c r="E12" s="30" t="s">
        <v>32</v>
      </c>
    </row>
    <row r="13" spans="1:14" x14ac:dyDescent="0.2">
      <c r="I13" s="14"/>
      <c r="K13" s="14"/>
    </row>
    <row r="14" spans="1:14" ht="45" x14ac:dyDescent="0.2">
      <c r="D14" s="21" t="s">
        <v>0</v>
      </c>
      <c r="E14" s="27" t="s">
        <v>19</v>
      </c>
      <c r="F14" s="28" t="s">
        <v>364</v>
      </c>
      <c r="H14" s="28" t="s">
        <v>365</v>
      </c>
      <c r="I14" s="29"/>
      <c r="J14" s="28" t="s">
        <v>366</v>
      </c>
      <c r="K14" s="29"/>
      <c r="L14" s="28" t="s">
        <v>367</v>
      </c>
      <c r="N14" s="28" t="s">
        <v>367</v>
      </c>
    </row>
    <row r="15" spans="1:14" x14ac:dyDescent="0.2">
      <c r="D15" s="21"/>
      <c r="E15" s="21"/>
      <c r="F15" s="34">
        <f>F4</f>
        <v>43830</v>
      </c>
      <c r="H15" s="22"/>
      <c r="J15" s="34"/>
      <c r="L15" s="35" t="s">
        <v>24</v>
      </c>
      <c r="N15" s="35" t="s">
        <v>25</v>
      </c>
    </row>
    <row r="16" spans="1:14" x14ac:dyDescent="0.2">
      <c r="E16" s="23" t="s">
        <v>6</v>
      </c>
      <c r="F16" s="22"/>
      <c r="H16" s="22"/>
      <c r="J16" s="22"/>
    </row>
    <row r="17" spans="1:14" x14ac:dyDescent="0.2">
      <c r="C17" s="13" t="s">
        <v>439</v>
      </c>
      <c r="D17" s="14" t="str">
        <f>"41100"</f>
        <v>41100</v>
      </c>
      <c r="E17" s="14" t="str">
        <f>"Membership"</f>
        <v>Membership</v>
      </c>
      <c r="F17" s="19">
        <v>171175.01</v>
      </c>
      <c r="H17" s="19">
        <v>140000</v>
      </c>
      <c r="J17" s="19">
        <v>156395.96000000002</v>
      </c>
      <c r="L17" s="32">
        <f>F17-H17</f>
        <v>31175.010000000009</v>
      </c>
      <c r="N17" s="36">
        <f>IF(H17=0," ",IF(AND(H17&lt;0,F17&lt;0),-L17/H17,IF(AND(H17&lt;0,F17&gt;0),-L17/H17,IF(AND(H17&gt;0,F17&gt;0),L17/H17,IF(AND(H17&gt;0,F17&lt;0),L17/H17,IF(AND(H17&lt;0,F17=0),-L17/H17,IF(AND(H17&gt;0,F17=0),L17/H17)))))))</f>
        <v>0.22267864285714292</v>
      </c>
    </row>
    <row r="18" spans="1:14" x14ac:dyDescent="0.2">
      <c r="A18" s="13" t="s">
        <v>56</v>
      </c>
      <c r="C18" s="13" t="str">
        <f>"""NAV2018"",""ALSA Live"",""15"",""1"",""41200"""</f>
        <v>"NAV2018","ALSA Live","15","1","41200"</v>
      </c>
      <c r="D18" s="14" t="str">
        <f>"41200"</f>
        <v>41200</v>
      </c>
      <c r="E18" s="14" t="str">
        <f>"Industry Partnerships"</f>
        <v>Industry Partnerships</v>
      </c>
      <c r="F18" s="19">
        <v>2125</v>
      </c>
      <c r="H18" s="19">
        <v>3000</v>
      </c>
      <c r="J18" s="19">
        <v>2750.04</v>
      </c>
      <c r="L18" s="32">
        <f t="shared" ref="L18:L33" si="0">F18-H18</f>
        <v>-875</v>
      </c>
      <c r="N18" s="36">
        <f t="shared" ref="N18:N33" si="1">IF(H18=0," ",IF(AND(H18&lt;0,F18&lt;0),-L18/H18,IF(AND(H18&lt;0,F18&gt;0),-L18/H18,IF(AND(H18&gt;0,F18&gt;0),L18/H18,IF(AND(H18&gt;0,F18&lt;0),L18/H18,IF(AND(H18&lt;0,F18=0),-L18/H18,IF(AND(H18&gt;0,F18=0),L18/H18)))))))</f>
        <v>-0.29166666666666669</v>
      </c>
    </row>
    <row r="19" spans="1:14" x14ac:dyDescent="0.2">
      <c r="A19" s="13" t="s">
        <v>56</v>
      </c>
      <c r="C19" s="13" t="str">
        <f>"""NAV2018"",""ALSA Live"",""15"",""1"",""41300"""</f>
        <v>"NAV2018","ALSA Live","15","1","41300"</v>
      </c>
      <c r="D19" s="14" t="str">
        <f>"41300"</f>
        <v>41300</v>
      </c>
      <c r="E19" s="14" t="str">
        <f>"Group Buy Rebates"</f>
        <v>Group Buy Rebates</v>
      </c>
      <c r="F19" s="19">
        <v>20608.91</v>
      </c>
      <c r="H19" s="19">
        <v>30000</v>
      </c>
      <c r="J19" s="19">
        <v>31608.86</v>
      </c>
      <c r="L19" s="32">
        <f t="shared" si="0"/>
        <v>-9391.09</v>
      </c>
      <c r="N19" s="36">
        <f t="shared" si="1"/>
        <v>-0.31303633333333336</v>
      </c>
    </row>
    <row r="20" spans="1:14" x14ac:dyDescent="0.2">
      <c r="A20" s="13" t="s">
        <v>56</v>
      </c>
      <c r="C20" s="13" t="str">
        <f>"""NAV2018"",""ALSA Live"",""15"",""1"",""42100"""</f>
        <v>"NAV2018","ALSA Live","15","1","42100"</v>
      </c>
      <c r="D20" s="14" t="str">
        <f>"42100"</f>
        <v>42100</v>
      </c>
      <c r="E20" s="14" t="str">
        <f>"Advertising"</f>
        <v>Advertising</v>
      </c>
      <c r="F20" s="19">
        <v>0</v>
      </c>
      <c r="H20" s="19">
        <v>0</v>
      </c>
      <c r="J20" s="19">
        <v>300</v>
      </c>
      <c r="L20" s="32">
        <f t="shared" si="0"/>
        <v>0</v>
      </c>
      <c r="N20" s="36" t="str">
        <f t="shared" si="1"/>
        <v xml:space="preserve"> </v>
      </c>
    </row>
    <row r="21" spans="1:14" x14ac:dyDescent="0.2">
      <c r="A21" s="13" t="s">
        <v>56</v>
      </c>
      <c r="C21" s="13" t="str">
        <f>"""NAV2018"",""ALSA Live"",""15"",""1"",""42200"""</f>
        <v>"NAV2018","ALSA Live","15","1","42200"</v>
      </c>
      <c r="D21" s="14" t="str">
        <f>"42200"</f>
        <v>42200</v>
      </c>
      <c r="E21" s="14" t="str">
        <f>"ALIC Sponsorship"</f>
        <v>ALIC Sponsorship</v>
      </c>
      <c r="F21" s="19">
        <v>95042.21</v>
      </c>
      <c r="H21" s="19">
        <v>95000</v>
      </c>
      <c r="J21" s="19">
        <v>101170</v>
      </c>
      <c r="L21" s="32">
        <f t="shared" si="0"/>
        <v>42.210000000006403</v>
      </c>
      <c r="N21" s="36">
        <f t="shared" si="1"/>
        <v>4.4431578947375159E-4</v>
      </c>
    </row>
    <row r="22" spans="1:14" x14ac:dyDescent="0.2">
      <c r="A22" s="13" t="s">
        <v>56</v>
      </c>
      <c r="C22" s="13" t="str">
        <f>"""NAV2018"",""ALSA Live"",""15"",""1"",""42310"""</f>
        <v>"NAV2018","ALSA Live","15","1","42310"</v>
      </c>
      <c r="D22" s="14" t="str">
        <f>"42310"</f>
        <v>42310</v>
      </c>
      <c r="E22" s="14" t="str">
        <f>"Liquor Retailer Sponsorship"</f>
        <v>Liquor Retailer Sponsorship</v>
      </c>
      <c r="F22" s="19">
        <v>15000</v>
      </c>
      <c r="H22" s="19">
        <v>15000</v>
      </c>
      <c r="J22" s="19">
        <v>15000</v>
      </c>
      <c r="L22" s="32">
        <f t="shared" si="0"/>
        <v>0</v>
      </c>
      <c r="N22" s="36">
        <f t="shared" si="1"/>
        <v>0</v>
      </c>
    </row>
    <row r="23" spans="1:14" x14ac:dyDescent="0.2">
      <c r="A23" s="13" t="s">
        <v>56</v>
      </c>
      <c r="C23" s="13" t="str">
        <f>"""NAV2018"",""ALSA Live"",""15"",""1"",""42320"""</f>
        <v>"NAV2018","ALSA Live","15","1","42320"</v>
      </c>
      <c r="D23" s="14" t="str">
        <f>"42320"</f>
        <v>42320</v>
      </c>
      <c r="E23" s="14" t="str">
        <f>"Awareness Ads Sponsorship"</f>
        <v>Awareness Ads Sponsorship</v>
      </c>
      <c r="F23" s="19">
        <v>0</v>
      </c>
      <c r="H23" s="19">
        <v>15000</v>
      </c>
      <c r="J23" s="19">
        <v>35000</v>
      </c>
      <c r="L23" s="32">
        <f t="shared" si="0"/>
        <v>-15000</v>
      </c>
      <c r="N23" s="36">
        <f t="shared" si="1"/>
        <v>-1</v>
      </c>
    </row>
    <row r="24" spans="1:14" x14ac:dyDescent="0.2">
      <c r="A24" s="13" t="s">
        <v>56</v>
      </c>
      <c r="C24" s="13" t="str">
        <f>"""NAV2018"",""ALSA Live"",""15"",""1"",""42330"""</f>
        <v>"NAV2018","ALSA Live","15","1","42330"</v>
      </c>
      <c r="D24" s="14" t="str">
        <f>"42330"</f>
        <v>42330</v>
      </c>
      <c r="E24" s="14" t="str">
        <f>"Newsletter Sponsorship"</f>
        <v>Newsletter Sponsorship</v>
      </c>
      <c r="F24" s="19">
        <v>30000</v>
      </c>
      <c r="H24" s="19">
        <v>0</v>
      </c>
      <c r="J24" s="19">
        <v>45000</v>
      </c>
      <c r="L24" s="32">
        <f t="shared" si="0"/>
        <v>30000</v>
      </c>
      <c r="N24" s="36" t="str">
        <f t="shared" si="1"/>
        <v xml:space="preserve"> </v>
      </c>
    </row>
    <row r="25" spans="1:14" x14ac:dyDescent="0.2">
      <c r="A25" s="13" t="s">
        <v>56</v>
      </c>
      <c r="C25" s="13" t="str">
        <f>"""NAV2018"",""ALSA Live"",""15"",""1"",""42600"""</f>
        <v>"NAV2018","ALSA Live","15","1","42600"</v>
      </c>
      <c r="D25" s="14" t="str">
        <f>"42600"</f>
        <v>42600</v>
      </c>
      <c r="E25" s="14" t="str">
        <f>"Industry Golf Tournament"</f>
        <v>Industry Golf Tournament</v>
      </c>
      <c r="F25" s="19">
        <v>0</v>
      </c>
      <c r="H25" s="19">
        <v>0</v>
      </c>
      <c r="J25" s="19">
        <v>0</v>
      </c>
      <c r="L25" s="32">
        <f t="shared" si="0"/>
        <v>0</v>
      </c>
      <c r="N25" s="36" t="str">
        <f t="shared" si="1"/>
        <v xml:space="preserve"> </v>
      </c>
    </row>
    <row r="26" spans="1:14" x14ac:dyDescent="0.2">
      <c r="A26" s="13" t="s">
        <v>56</v>
      </c>
      <c r="C26" s="13" t="str">
        <f>"""NAV2018"",""ALSA Live"",""15"",""1"",""43100"""</f>
        <v>"NAV2018","ALSA Live","15","1","43100"</v>
      </c>
      <c r="D26" s="14" t="str">
        <f>"43100"</f>
        <v>43100</v>
      </c>
      <c r="E26" s="14" t="str">
        <f>"Industry Education Programs"</f>
        <v>Industry Education Programs</v>
      </c>
      <c r="F26" s="19">
        <v>52875.000000000007</v>
      </c>
      <c r="H26" s="19">
        <v>30000</v>
      </c>
      <c r="J26" s="19">
        <v>15000</v>
      </c>
      <c r="L26" s="32">
        <f t="shared" si="0"/>
        <v>22875.000000000007</v>
      </c>
      <c r="N26" s="36">
        <f t="shared" si="1"/>
        <v>0.76250000000000029</v>
      </c>
    </row>
    <row r="27" spans="1:14" x14ac:dyDescent="0.2">
      <c r="A27" s="13" t="s">
        <v>56</v>
      </c>
      <c r="C27" s="13" t="str">
        <f>"""NAV2018"",""ALSA Live"",""15"",""1"",""43600"""</f>
        <v>"NAV2018","ALSA Live","15","1","43600"</v>
      </c>
      <c r="D27" s="14" t="str">
        <f>"43600"</f>
        <v>43600</v>
      </c>
      <c r="E27" s="14" t="str">
        <f>"Industry Events"</f>
        <v>Industry Events</v>
      </c>
      <c r="F27" s="19">
        <v>28571.43</v>
      </c>
      <c r="H27" s="19">
        <v>15000</v>
      </c>
      <c r="J27" s="19">
        <v>25000.000000000004</v>
      </c>
      <c r="L27" s="32">
        <f t="shared" si="0"/>
        <v>13571.43</v>
      </c>
      <c r="N27" s="36">
        <f t="shared" si="1"/>
        <v>0.90476200000000007</v>
      </c>
    </row>
    <row r="28" spans="1:14" x14ac:dyDescent="0.2">
      <c r="A28" s="13" t="s">
        <v>56</v>
      </c>
      <c r="C28" s="13" t="str">
        <f>"""NAV2018"",""ALSA Live"",""15"",""1"",""44100"""</f>
        <v>"NAV2018","ALSA Live","15","1","44100"</v>
      </c>
      <c r="D28" s="14" t="str">
        <f>"44100"</f>
        <v>44100</v>
      </c>
      <c r="E28" s="14" t="str">
        <f>"Survey "</f>
        <v xml:space="preserve">Survey </v>
      </c>
      <c r="F28" s="19">
        <v>0</v>
      </c>
      <c r="H28" s="19">
        <v>0</v>
      </c>
      <c r="J28" s="19">
        <v>0</v>
      </c>
      <c r="L28" s="32">
        <f t="shared" si="0"/>
        <v>0</v>
      </c>
      <c r="N28" s="36" t="str">
        <f t="shared" si="1"/>
        <v xml:space="preserve"> </v>
      </c>
    </row>
    <row r="29" spans="1:14" x14ac:dyDescent="0.2">
      <c r="A29" s="13" t="s">
        <v>56</v>
      </c>
      <c r="C29" s="13" t="str">
        <f>"""NAV2018"",""ALSA Live"",""15"",""1"",""44600"""</f>
        <v>"NAV2018","ALSA Live","15","1","44600"</v>
      </c>
      <c r="D29" s="14" t="str">
        <f>"44600"</f>
        <v>44600</v>
      </c>
      <c r="E29" s="14" t="str">
        <f>"Government Awareness"</f>
        <v>Government Awareness</v>
      </c>
      <c r="F29" s="19">
        <v>28571.43</v>
      </c>
      <c r="H29" s="19">
        <v>64999.999999999993</v>
      </c>
      <c r="J29" s="19">
        <v>52380.95</v>
      </c>
      <c r="L29" s="32">
        <f t="shared" si="0"/>
        <v>-36428.569999999992</v>
      </c>
      <c r="N29" s="36">
        <f t="shared" si="1"/>
        <v>-0.56043953846153838</v>
      </c>
    </row>
    <row r="30" spans="1:14" x14ac:dyDescent="0.2">
      <c r="A30" s="13" t="s">
        <v>56</v>
      </c>
      <c r="C30" s="13" t="str">
        <f>"""NAV2018"",""ALSA Live"",""15"",""1"",""44700"""</f>
        <v>"NAV2018","ALSA Live","15","1","44700"</v>
      </c>
      <c r="D30" s="14" t="str">
        <f>"44700"</f>
        <v>44700</v>
      </c>
      <c r="E30" s="14" t="str">
        <f>"Gov't Grants &amp; Funding"</f>
        <v>Gov't Grants &amp; Funding</v>
      </c>
      <c r="F30" s="19">
        <v>250000</v>
      </c>
      <c r="H30" s="19">
        <v>250000</v>
      </c>
      <c r="J30" s="19">
        <v>0</v>
      </c>
      <c r="L30" s="32">
        <f t="shared" si="0"/>
        <v>0</v>
      </c>
      <c r="N30" s="36">
        <f t="shared" si="1"/>
        <v>0</v>
      </c>
    </row>
    <row r="31" spans="1:14" x14ac:dyDescent="0.2">
      <c r="A31" s="13" t="s">
        <v>56</v>
      </c>
      <c r="C31" s="13" t="str">
        <f>"""NAV2018"",""ALSA Live"",""15"",""1"",""45100"""</f>
        <v>"NAV2018","ALSA Live","15","1","45100"</v>
      </c>
      <c r="D31" s="14" t="str">
        <f>"45100"</f>
        <v>45100</v>
      </c>
      <c r="E31" s="14" t="str">
        <f>"Miscellaneous Revenue "</f>
        <v xml:space="preserve">Miscellaneous Revenue </v>
      </c>
      <c r="F31" s="19">
        <v>0</v>
      </c>
      <c r="H31" s="19">
        <v>0</v>
      </c>
      <c r="J31" s="19">
        <v>0</v>
      </c>
      <c r="L31" s="32">
        <f t="shared" si="0"/>
        <v>0</v>
      </c>
      <c r="N31" s="36" t="str">
        <f t="shared" si="1"/>
        <v xml:space="preserve"> </v>
      </c>
    </row>
    <row r="32" spans="1:14" x14ac:dyDescent="0.2">
      <c r="A32" s="13" t="s">
        <v>56</v>
      </c>
      <c r="C32" s="13" t="str">
        <f>"""NAV2018"",""ALSA Live"",""15"",""1"",""45200"""</f>
        <v>"NAV2018","ALSA Live","15","1","45200"</v>
      </c>
      <c r="D32" s="14" t="str">
        <f>"45200"</f>
        <v>45200</v>
      </c>
      <c r="E32" s="14" t="str">
        <f>"Legal Recovery"</f>
        <v>Legal Recovery</v>
      </c>
      <c r="F32" s="19">
        <v>0</v>
      </c>
      <c r="H32" s="19">
        <v>0</v>
      </c>
      <c r="J32" s="19">
        <v>0</v>
      </c>
      <c r="L32" s="32">
        <f t="shared" si="0"/>
        <v>0</v>
      </c>
      <c r="N32" s="36" t="str">
        <f t="shared" si="1"/>
        <v xml:space="preserve"> </v>
      </c>
    </row>
    <row r="33" spans="1:14" x14ac:dyDescent="0.2">
      <c r="A33" s="13" t="s">
        <v>56</v>
      </c>
      <c r="C33" s="13" t="str">
        <f>"""NAV2018"",""ALSA Live"",""15"",""1"",""47000"""</f>
        <v>"NAV2018","ALSA Live","15","1","47000"</v>
      </c>
      <c r="D33" s="14" t="str">
        <f>"47000"</f>
        <v>47000</v>
      </c>
      <c r="E33" s="14" t="str">
        <f>"Interest Income"</f>
        <v>Interest Income</v>
      </c>
      <c r="F33" s="19">
        <v>3766.9799999999996</v>
      </c>
      <c r="H33" s="19">
        <v>0</v>
      </c>
      <c r="J33" s="19">
        <v>2384.34</v>
      </c>
      <c r="L33" s="32">
        <f t="shared" si="0"/>
        <v>3766.9799999999996</v>
      </c>
      <c r="N33" s="36" t="str">
        <f t="shared" si="1"/>
        <v xml:space="preserve"> </v>
      </c>
    </row>
    <row r="35" spans="1:14" x14ac:dyDescent="0.2">
      <c r="C35" s="15"/>
      <c r="E35" s="14" t="s">
        <v>7</v>
      </c>
      <c r="F35" s="20">
        <f>SUBTOTAL(9,F17:F34)</f>
        <v>697735.97</v>
      </c>
      <c r="H35" s="20">
        <f>SUBTOTAL(9,H17:H34)</f>
        <v>658000</v>
      </c>
      <c r="J35" s="20">
        <f>SUBTOTAL(9,J17:J34)</f>
        <v>481990.15000000008</v>
      </c>
      <c r="L35" s="37">
        <f>F35-H35</f>
        <v>39735.969999999972</v>
      </c>
      <c r="N35" s="38">
        <f>IF(H35=0," ",IF(AND(H35&lt;0,F35&lt;0),-L35/H35,IF(AND(H35&lt;0,F35&gt;0),-L35/H35,IF(AND(H35&gt;0,F35&gt;0),L35/H35,IF(AND(H35&gt;0,F35&lt;0),L35/H35,IF(AND(H35&lt;0,F35=0),-L35/H35,IF(AND(H35&gt;0,F35=0),L35/H35)))))))</f>
        <v>6.0389012158054665E-2</v>
      </c>
    </row>
    <row r="36" spans="1:14" x14ac:dyDescent="0.2">
      <c r="C36" s="15"/>
      <c r="E36" s="14"/>
      <c r="F36" s="26"/>
      <c r="H36" s="26"/>
      <c r="J36" s="26"/>
    </row>
    <row r="37" spans="1:14" x14ac:dyDescent="0.2">
      <c r="C37" s="15"/>
      <c r="E37" s="23" t="s">
        <v>29</v>
      </c>
    </row>
    <row r="38" spans="1:14" x14ac:dyDescent="0.2">
      <c r="C38" s="13" t="s">
        <v>440</v>
      </c>
      <c r="D38" s="14" t="str">
        <f>"71100"</f>
        <v>71100</v>
      </c>
      <c r="E38" s="14" t="str">
        <f>"Advertising/Awareness ads"</f>
        <v>Advertising/Awareness ads</v>
      </c>
      <c r="F38" s="19">
        <v>-3750</v>
      </c>
      <c r="H38" s="19">
        <v>-5000</v>
      </c>
      <c r="J38" s="19">
        <v>-14384.999999999998</v>
      </c>
      <c r="L38" s="32">
        <f>F38-H38</f>
        <v>1250</v>
      </c>
      <c r="N38" s="36">
        <f>IF(H38=0," ",IF(AND(H38&lt;0,F38&lt;0),L38/H38,IF(AND(H38&lt;0,F38&gt;0),L38/H38,IF(AND(H38&gt;0,F38&gt;0),-L38/H38,IF(AND(H38&gt;0,F38&lt;0),-L38/H38,IF(AND(H38&lt;0,F38=0),L38/H38,IF(AND(H38&gt;0,F38=0),-L38/H38)))))))</f>
        <v>-0.25</v>
      </c>
    </row>
    <row r="39" spans="1:14" x14ac:dyDescent="0.2">
      <c r="A39" s="13" t="s">
        <v>56</v>
      </c>
      <c r="C39" s="13" t="str">
        <f>"""NAV2018"",""ALSA Live"",""15"",""1"",""71200"""</f>
        <v>"NAV2018","ALSA Live","15","1","71200"</v>
      </c>
      <c r="D39" s="14" t="str">
        <f>"71200"</f>
        <v>71200</v>
      </c>
      <c r="E39" s="14" t="str">
        <f>"AGM "</f>
        <v xml:space="preserve">AGM </v>
      </c>
      <c r="F39" s="19">
        <v>0</v>
      </c>
      <c r="H39" s="19">
        <v>-999.99999999999989</v>
      </c>
      <c r="J39" s="19">
        <v>0</v>
      </c>
      <c r="L39" s="32">
        <f t="shared" ref="L39:L56" si="2">F39-H39</f>
        <v>999.99999999999989</v>
      </c>
      <c r="N39" s="36">
        <f t="shared" ref="N39:N56" si="3">IF(H39=0," ",IF(AND(H39&lt;0,F39&lt;0),L39/H39,IF(AND(H39&lt;0,F39&gt;0),L39/H39,IF(AND(H39&gt;0,F39&gt;0),-L39/H39,IF(AND(H39&gt;0,F39&lt;0),-L39/H39,IF(AND(H39&lt;0,F39=0),L39/H39,IF(AND(H39&gt;0,F39=0),-L39/H39)))))))</f>
        <v>-1</v>
      </c>
    </row>
    <row r="40" spans="1:14" x14ac:dyDescent="0.2">
      <c r="A40" s="13" t="s">
        <v>56</v>
      </c>
      <c r="C40" s="13" t="str">
        <f>"""NAV2018"",""ALSA Live"",""15"",""1"",""71300"""</f>
        <v>"NAV2018","ALSA Live","15","1","71300"</v>
      </c>
      <c r="D40" s="14" t="str">
        <f>"71300"</f>
        <v>71300</v>
      </c>
      <c r="E40" s="14" t="str">
        <f>"ALIC "</f>
        <v xml:space="preserve">ALIC </v>
      </c>
      <c r="F40" s="19">
        <v>-64621.680000000008</v>
      </c>
      <c r="H40" s="19">
        <v>-50000.000000000007</v>
      </c>
      <c r="J40" s="19">
        <v>-59538.149999999994</v>
      </c>
      <c r="L40" s="32">
        <f t="shared" si="2"/>
        <v>-14621.68</v>
      </c>
      <c r="N40" s="36">
        <f t="shared" si="3"/>
        <v>0.29243359999999996</v>
      </c>
    </row>
    <row r="41" spans="1:14" x14ac:dyDescent="0.2">
      <c r="A41" s="13" t="s">
        <v>56</v>
      </c>
      <c r="C41" s="13" t="str">
        <f>"""NAV2018"",""ALSA Live"",""15"",""1"",""71400"""</f>
        <v>"NAV2018","ALSA Live","15","1","71400"</v>
      </c>
      <c r="D41" s="14" t="str">
        <f>"71400"</f>
        <v>71400</v>
      </c>
      <c r="E41" s="14" t="str">
        <f>"Board "</f>
        <v xml:space="preserve">Board </v>
      </c>
      <c r="F41" s="19">
        <v>-1229.8</v>
      </c>
      <c r="H41" s="19">
        <v>-3000</v>
      </c>
      <c r="J41" s="19">
        <v>-1100</v>
      </c>
      <c r="L41" s="32">
        <f t="shared" si="2"/>
        <v>1770.2</v>
      </c>
      <c r="N41" s="36">
        <f t="shared" si="3"/>
        <v>-0.59006666666666663</v>
      </c>
    </row>
    <row r="42" spans="1:14" x14ac:dyDescent="0.2">
      <c r="A42" s="13" t="s">
        <v>56</v>
      </c>
      <c r="C42" s="13" t="str">
        <f>"""NAV2018"",""ALSA Live"",""15"",""1"",""71500"""</f>
        <v>"NAV2018","ALSA Live","15","1","71500"</v>
      </c>
      <c r="D42" s="14" t="str">
        <f>"71500"</f>
        <v>71500</v>
      </c>
      <c r="E42" s="14" t="str">
        <f>"Marketing/Comms/Media"</f>
        <v>Marketing/Comms/Media</v>
      </c>
      <c r="F42" s="19">
        <v>0</v>
      </c>
      <c r="H42" s="19">
        <v>-25000.000000000004</v>
      </c>
      <c r="J42" s="19">
        <v>-26565.69</v>
      </c>
      <c r="L42" s="32">
        <f t="shared" si="2"/>
        <v>25000.000000000004</v>
      </c>
      <c r="N42" s="36">
        <f t="shared" si="3"/>
        <v>-1</v>
      </c>
    </row>
    <row r="43" spans="1:14" x14ac:dyDescent="0.2">
      <c r="A43" s="13" t="s">
        <v>56</v>
      </c>
      <c r="C43" s="13" t="str">
        <f>"""NAV2018"",""ALSA Live"",""15"",""1"",""71600"""</f>
        <v>"NAV2018","ALSA Live","15","1","71600"</v>
      </c>
      <c r="D43" s="14" t="str">
        <f>"71600"</f>
        <v>71600</v>
      </c>
      <c r="E43" s="14" t="str">
        <f>"Industry Education Program Exp"</f>
        <v>Industry Education Program Exp</v>
      </c>
      <c r="F43" s="19">
        <v>-15914.76</v>
      </c>
      <c r="H43" s="19">
        <v>0</v>
      </c>
      <c r="J43" s="19">
        <v>0</v>
      </c>
      <c r="L43" s="32">
        <f t="shared" si="2"/>
        <v>-15914.76</v>
      </c>
      <c r="N43" s="36" t="str">
        <f t="shared" si="3"/>
        <v xml:space="preserve"> </v>
      </c>
    </row>
    <row r="44" spans="1:14" x14ac:dyDescent="0.2">
      <c r="A44" s="13" t="s">
        <v>56</v>
      </c>
      <c r="C44" s="13" t="str">
        <f>"""NAV2018"",""ALSA Live"",""15"",""1"",""71700"""</f>
        <v>"NAV2018","ALSA Live","15","1","71700"</v>
      </c>
      <c r="D44" s="14" t="str">
        <f>"71700"</f>
        <v>71700</v>
      </c>
      <c r="E44" s="14" t="str">
        <f>"Events "</f>
        <v xml:space="preserve">Events </v>
      </c>
      <c r="F44" s="19">
        <v>0</v>
      </c>
      <c r="H44" s="19">
        <v>-5000</v>
      </c>
      <c r="J44" s="19">
        <v>0</v>
      </c>
      <c r="L44" s="32">
        <f t="shared" si="2"/>
        <v>5000</v>
      </c>
      <c r="N44" s="36">
        <f t="shared" si="3"/>
        <v>-1</v>
      </c>
    </row>
    <row r="45" spans="1:14" x14ac:dyDescent="0.2">
      <c r="A45" s="13" t="s">
        <v>56</v>
      </c>
      <c r="C45" s="13" t="str">
        <f>"""NAV2018"",""ALSA Live"",""15"",""1"",""71750"""</f>
        <v>"NAV2018","ALSA Live","15","1","71750"</v>
      </c>
      <c r="D45" s="14" t="str">
        <f>"71750"</f>
        <v>71750</v>
      </c>
      <c r="E45" s="14" t="str">
        <f>"Government Awareness"</f>
        <v>Government Awareness</v>
      </c>
      <c r="F45" s="19">
        <v>-12695</v>
      </c>
      <c r="H45" s="19">
        <v>-15000</v>
      </c>
      <c r="J45" s="19">
        <v>-30000</v>
      </c>
      <c r="L45" s="32">
        <f t="shared" si="2"/>
        <v>2305</v>
      </c>
      <c r="N45" s="36">
        <f t="shared" si="3"/>
        <v>-0.15366666666666667</v>
      </c>
    </row>
    <row r="46" spans="1:14" x14ac:dyDescent="0.2">
      <c r="A46" s="13" t="s">
        <v>56</v>
      </c>
      <c r="C46" s="13" t="str">
        <f>"""NAV2018"",""ALSA Live"",""15"",""1"",""71800"""</f>
        <v>"NAV2018","ALSA Live","15","1","71800"</v>
      </c>
      <c r="D46" s="14" t="str">
        <f>"71800"</f>
        <v>71800</v>
      </c>
      <c r="E46" s="14" t="str">
        <f>"Government Relations "</f>
        <v xml:space="preserve">Government Relations </v>
      </c>
      <c r="F46" s="19">
        <v>-51072.07</v>
      </c>
      <c r="H46" s="19">
        <v>-30000</v>
      </c>
      <c r="J46" s="19">
        <v>-6565.6399999999994</v>
      </c>
      <c r="L46" s="32">
        <f t="shared" si="2"/>
        <v>-21072.07</v>
      </c>
      <c r="N46" s="36">
        <f t="shared" si="3"/>
        <v>0.70240233333333335</v>
      </c>
    </row>
    <row r="47" spans="1:14" x14ac:dyDescent="0.2">
      <c r="A47" s="13" t="s">
        <v>56</v>
      </c>
      <c r="C47" s="13" t="str">
        <f>"""NAV2018"",""ALSA Live"",""15"",""1"",""71850"""</f>
        <v>"NAV2018","ALSA Live","15","1","71850"</v>
      </c>
      <c r="D47" s="14" t="str">
        <f>"71850"</f>
        <v>71850</v>
      </c>
      <c r="E47" s="14" t="str">
        <f>"Golf Tournament"</f>
        <v>Golf Tournament</v>
      </c>
      <c r="F47" s="19">
        <v>0</v>
      </c>
      <c r="H47" s="19">
        <v>0</v>
      </c>
      <c r="J47" s="19">
        <v>0</v>
      </c>
      <c r="L47" s="32">
        <f t="shared" si="2"/>
        <v>0</v>
      </c>
      <c r="N47" s="36" t="str">
        <f t="shared" si="3"/>
        <v xml:space="preserve"> </v>
      </c>
    </row>
    <row r="48" spans="1:14" x14ac:dyDescent="0.2">
      <c r="A48" s="13" t="s">
        <v>56</v>
      </c>
      <c r="C48" s="13" t="str">
        <f>"""NAV2018"",""ALSA Live"",""15"",""1"",""71900"""</f>
        <v>"NAV2018","ALSA Live","15","1","71900"</v>
      </c>
      <c r="D48" s="14" t="str">
        <f>"71900"</f>
        <v>71900</v>
      </c>
      <c r="E48" s="14" t="str">
        <f>"Industry Survey "</f>
        <v xml:space="preserve">Industry Survey </v>
      </c>
      <c r="F48" s="19">
        <v>-24500</v>
      </c>
      <c r="H48" s="19">
        <v>0</v>
      </c>
      <c r="J48" s="19">
        <v>0</v>
      </c>
      <c r="L48" s="32">
        <f t="shared" si="2"/>
        <v>-24500</v>
      </c>
      <c r="N48" s="36" t="str">
        <f t="shared" si="3"/>
        <v xml:space="preserve"> </v>
      </c>
    </row>
    <row r="49" spans="1:14" x14ac:dyDescent="0.2">
      <c r="A49" s="13" t="s">
        <v>56</v>
      </c>
      <c r="C49" s="13" t="str">
        <f>"""NAV2018"",""ALSA Live"",""15"",""1"",""72000"""</f>
        <v>"NAV2018","ALSA Live","15","1","72000"</v>
      </c>
      <c r="D49" s="14" t="str">
        <f>"72000"</f>
        <v>72000</v>
      </c>
      <c r="E49" s="14" t="str">
        <f>"Meals &amp; Entertainment "</f>
        <v xml:space="preserve">Meals &amp; Entertainment </v>
      </c>
      <c r="F49" s="19">
        <v>0</v>
      </c>
      <c r="H49" s="19">
        <v>-1999.9999999999998</v>
      </c>
      <c r="J49" s="19">
        <v>0</v>
      </c>
      <c r="L49" s="32">
        <f t="shared" si="2"/>
        <v>1999.9999999999998</v>
      </c>
      <c r="N49" s="36">
        <f t="shared" si="3"/>
        <v>-1</v>
      </c>
    </row>
    <row r="50" spans="1:14" x14ac:dyDescent="0.2">
      <c r="A50" s="13" t="s">
        <v>56</v>
      </c>
      <c r="C50" s="13" t="str">
        <f>"""NAV2018"",""ALSA Live"",""15"",""1"",""72100"""</f>
        <v>"NAV2018","ALSA Live","15","1","72100"</v>
      </c>
      <c r="D50" s="14" t="str">
        <f>"72100"</f>
        <v>72100</v>
      </c>
      <c r="E50" s="14" t="str">
        <f>"Member Services"</f>
        <v>Member Services</v>
      </c>
      <c r="F50" s="19">
        <v>-2320</v>
      </c>
      <c r="H50" s="19">
        <v>-2500</v>
      </c>
      <c r="J50" s="19">
        <v>-2266</v>
      </c>
      <c r="L50" s="32">
        <f t="shared" si="2"/>
        <v>180</v>
      </c>
      <c r="N50" s="36">
        <f t="shared" si="3"/>
        <v>-7.1999999999999995E-2</v>
      </c>
    </row>
    <row r="51" spans="1:14" x14ac:dyDescent="0.2">
      <c r="A51" s="13" t="s">
        <v>56</v>
      </c>
      <c r="C51" s="13" t="str">
        <f>"""NAV2018"",""ALSA Live"",""15"",""1"",""72200"""</f>
        <v>"NAV2018","ALSA Live","15","1","72200"</v>
      </c>
      <c r="D51" s="14" t="str">
        <f>"72200"</f>
        <v>72200</v>
      </c>
      <c r="E51" s="14" t="str">
        <f>"Other Professional Fees"</f>
        <v>Other Professional Fees</v>
      </c>
      <c r="F51" s="19">
        <v>0</v>
      </c>
      <c r="H51" s="19">
        <v>0</v>
      </c>
      <c r="J51" s="19">
        <v>0</v>
      </c>
      <c r="L51" s="32">
        <f t="shared" si="2"/>
        <v>0</v>
      </c>
      <c r="N51" s="36" t="str">
        <f t="shared" si="3"/>
        <v xml:space="preserve"> </v>
      </c>
    </row>
    <row r="52" spans="1:14" x14ac:dyDescent="0.2">
      <c r="A52" s="13" t="s">
        <v>56</v>
      </c>
      <c r="C52" s="13" t="str">
        <f>"""NAV2018"",""ALSA Live"",""15"",""1"",""72250"""</f>
        <v>"NAV2018","ALSA Live","15","1","72250"</v>
      </c>
      <c r="D52" s="14" t="str">
        <f>"72250"</f>
        <v>72250</v>
      </c>
      <c r="E52" s="14" t="str">
        <f>"Training/New Materials Class D"</f>
        <v>Training/New Materials Class D</v>
      </c>
      <c r="F52" s="19">
        <v>-36.979999999999997</v>
      </c>
      <c r="H52" s="19">
        <v>0</v>
      </c>
      <c r="J52" s="19">
        <v>-43903.74</v>
      </c>
      <c r="L52" s="32">
        <f t="shared" si="2"/>
        <v>-36.979999999999997</v>
      </c>
      <c r="N52" s="36" t="str">
        <f t="shared" si="3"/>
        <v xml:space="preserve"> </v>
      </c>
    </row>
    <row r="53" spans="1:14" x14ac:dyDescent="0.2">
      <c r="A53" s="13" t="s">
        <v>56</v>
      </c>
      <c r="C53" s="13" t="str">
        <f>"""NAV2018"",""ALSA Live"",""15"",""1"",""72300"""</f>
        <v>"NAV2018","ALSA Live","15","1","72300"</v>
      </c>
      <c r="D53" s="14" t="str">
        <f>"72300"</f>
        <v>72300</v>
      </c>
      <c r="E53" s="14" t="str">
        <f>"Staff Travel "</f>
        <v xml:space="preserve">Staff Travel </v>
      </c>
      <c r="F53" s="19">
        <v>-4672.2</v>
      </c>
      <c r="H53" s="19">
        <v>-5000</v>
      </c>
      <c r="J53" s="19">
        <v>-6045.56</v>
      </c>
      <c r="L53" s="32">
        <f t="shared" si="2"/>
        <v>327.80000000000018</v>
      </c>
      <c r="N53" s="36">
        <f t="shared" si="3"/>
        <v>-6.5560000000000035E-2</v>
      </c>
    </row>
    <row r="54" spans="1:14" x14ac:dyDescent="0.2">
      <c r="A54" s="13" t="s">
        <v>56</v>
      </c>
      <c r="C54" s="13" t="str">
        <f>"""NAV2018"",""ALSA Live"",""15"",""1"",""72400"""</f>
        <v>"NAV2018","ALSA Live","15","1","72400"</v>
      </c>
      <c r="D54" s="14" t="str">
        <f>"72400"</f>
        <v>72400</v>
      </c>
      <c r="E54" s="14" t="str">
        <f>"Website"</f>
        <v>Website</v>
      </c>
      <c r="F54" s="19">
        <v>0</v>
      </c>
      <c r="H54" s="19">
        <v>0</v>
      </c>
      <c r="J54" s="19">
        <v>-417.1</v>
      </c>
      <c r="L54" s="32">
        <f t="shared" si="2"/>
        <v>0</v>
      </c>
      <c r="N54" s="36" t="str">
        <f t="shared" si="3"/>
        <v xml:space="preserve"> </v>
      </c>
    </row>
    <row r="55" spans="1:14" x14ac:dyDescent="0.2">
      <c r="A55" s="13" t="s">
        <v>56</v>
      </c>
      <c r="C55" s="13" t="str">
        <f>"""NAV2018"",""ALSA Live"",""15"",""1"",""72500"""</f>
        <v>"NAV2018","ALSA Live","15","1","72500"</v>
      </c>
      <c r="D55" s="14" t="str">
        <f>"72500"</f>
        <v>72500</v>
      </c>
      <c r="E55" s="14" t="str">
        <f>"Zoning Bylaw "</f>
        <v xml:space="preserve">Zoning Bylaw </v>
      </c>
      <c r="F55" s="19">
        <v>0</v>
      </c>
      <c r="H55" s="19">
        <v>0</v>
      </c>
      <c r="J55" s="19">
        <v>0</v>
      </c>
      <c r="L55" s="32">
        <f t="shared" si="2"/>
        <v>0</v>
      </c>
      <c r="N55" s="36" t="str">
        <f t="shared" si="3"/>
        <v xml:space="preserve"> </v>
      </c>
    </row>
    <row r="56" spans="1:14" x14ac:dyDescent="0.2">
      <c r="A56" s="13" t="s">
        <v>56</v>
      </c>
      <c r="C56" s="13" t="str">
        <f>"""NAV2018"",""ALSA Live"",""15"",""1"",""72600"""</f>
        <v>"NAV2018","ALSA Live","15","1","72600"</v>
      </c>
      <c r="D56" s="14" t="str">
        <f>"72600"</f>
        <v>72600</v>
      </c>
      <c r="E56" s="14" t="str">
        <f>"AB Made Marketing Program"</f>
        <v>AB Made Marketing Program</v>
      </c>
      <c r="F56" s="19">
        <v>-253910.59</v>
      </c>
      <c r="H56" s="19">
        <v>-200000.00000000003</v>
      </c>
      <c r="J56" s="19">
        <v>0</v>
      </c>
      <c r="L56" s="32">
        <f t="shared" si="2"/>
        <v>-53910.589999999967</v>
      </c>
      <c r="N56" s="36">
        <f t="shared" si="3"/>
        <v>0.26955294999999979</v>
      </c>
    </row>
    <row r="58" spans="1:14" x14ac:dyDescent="0.2">
      <c r="C58" s="15"/>
      <c r="E58" s="14" t="s">
        <v>159</v>
      </c>
      <c r="F58" s="20">
        <f>SUBTOTAL(9,F38:F57)</f>
        <v>-434723.08</v>
      </c>
      <c r="H58" s="20">
        <f>SUBTOTAL(9,H38:H57)</f>
        <v>-343500</v>
      </c>
      <c r="J58" s="20">
        <f>SUBTOTAL(9,J38:J57)</f>
        <v>-190786.87999999998</v>
      </c>
      <c r="L58" s="37">
        <f>F58-H58</f>
        <v>-91223.080000000016</v>
      </c>
      <c r="N58" s="38">
        <f>IF(H58=0," ",IF(AND(H58&lt;0,F58&lt;0),L58/H58,IF(AND(H58&lt;0,F58&gt;0),L58/H58,IF(AND(H58&gt;0,F58&gt;0),-L58/H58,IF(AND(H58&gt;0,F58&lt;0),-L58/H58,IF(AND(H58&lt;0,F58=0),L58/H58,IF(AND(H58&gt;0,F58=0),-L58/H58)))))))</f>
        <v>0.2655693740902475</v>
      </c>
    </row>
    <row r="60" spans="1:14" x14ac:dyDescent="0.2">
      <c r="C60" s="15"/>
      <c r="E60" s="23" t="s">
        <v>30</v>
      </c>
    </row>
    <row r="61" spans="1:14" x14ac:dyDescent="0.2">
      <c r="C61" s="13" t="s">
        <v>441</v>
      </c>
      <c r="D61" s="14" t="str">
        <f>"81100"</f>
        <v>81100</v>
      </c>
      <c r="E61" s="14" t="str">
        <f>"Bank Service Charges"</f>
        <v>Bank Service Charges</v>
      </c>
      <c r="F61" s="19">
        <v>-628.15</v>
      </c>
      <c r="H61" s="19">
        <v>-300</v>
      </c>
      <c r="J61" s="19">
        <v>-291.96000000000004</v>
      </c>
      <c r="L61" s="32">
        <f>F61-H61</f>
        <v>-328.15</v>
      </c>
      <c r="N61" s="36">
        <f>IF(H61=0," ",IF(AND(H61&lt;0,F61&lt;0),L61/H61,IF(AND(H61&lt;0,F61&gt;0),L61/H61,IF(AND(H61&gt;0,F61&gt;0),-L61/H61,IF(AND(H61&gt;0,F61&lt;0),-L61/H61,IF(AND(H61&lt;0,F61=0),L61/H61,IF(AND(H61&gt;0,F61=0),-L61/H61)))))))</f>
        <v>1.0938333333333332</v>
      </c>
    </row>
    <row r="62" spans="1:14" x14ac:dyDescent="0.2">
      <c r="A62" s="13" t="s">
        <v>56</v>
      </c>
      <c r="C62" s="13" t="str">
        <f>"""NAV2018"",""ALSA Live"",""15"",""1"",""81200"""</f>
        <v>"NAV2018","ALSA Live","15","1","81200"</v>
      </c>
      <c r="D62" s="14" t="str">
        <f>"81200"</f>
        <v>81200</v>
      </c>
      <c r="E62" s="14" t="str">
        <f>"Moneris/Paypal Txn Fees"</f>
        <v>Moneris/Paypal Txn Fees</v>
      </c>
      <c r="F62" s="19">
        <v>-2824.63</v>
      </c>
      <c r="H62" s="19">
        <v>-1700</v>
      </c>
      <c r="J62" s="19">
        <v>-1671.6699999999998</v>
      </c>
      <c r="L62" s="32">
        <f t="shared" ref="L62:L92" si="4">F62-H62</f>
        <v>-1124.6300000000001</v>
      </c>
      <c r="N62" s="36">
        <f t="shared" ref="N62:N92" si="5">IF(H62=0," ",IF(AND(H62&lt;0,F62&lt;0),L62/H62,IF(AND(H62&lt;0,F62&gt;0),L62/H62,IF(AND(H62&gt;0,F62&gt;0),-L62/H62,IF(AND(H62&gt;0,F62&lt;0),-L62/H62,IF(AND(H62&lt;0,F62=0),L62/H62,IF(AND(H62&gt;0,F62=0),-L62/H62)))))))</f>
        <v>0.66154705882352949</v>
      </c>
    </row>
    <row r="63" spans="1:14" x14ac:dyDescent="0.2">
      <c r="A63" s="13" t="s">
        <v>56</v>
      </c>
      <c r="C63" s="13" t="str">
        <f>"""NAV2018"",""ALSA Live"",""15"",""1"",""81300"""</f>
        <v>"NAV2018","ALSA Live","15","1","81300"</v>
      </c>
      <c r="D63" s="14" t="str">
        <f>"81300"</f>
        <v>81300</v>
      </c>
      <c r="E63" s="14" t="str">
        <f>"Finance charges "</f>
        <v xml:space="preserve">Finance charges </v>
      </c>
      <c r="F63" s="19">
        <v>0</v>
      </c>
      <c r="H63" s="19">
        <v>0</v>
      </c>
      <c r="J63" s="19">
        <v>0</v>
      </c>
      <c r="L63" s="32">
        <f t="shared" si="4"/>
        <v>0</v>
      </c>
      <c r="N63" s="36" t="str">
        <f t="shared" si="5"/>
        <v xml:space="preserve"> </v>
      </c>
    </row>
    <row r="64" spans="1:14" x14ac:dyDescent="0.2">
      <c r="A64" s="13" t="s">
        <v>56</v>
      </c>
      <c r="C64" s="13" t="str">
        <f>"""NAV2018"",""ALSA Live"",""15"",""1"",""81400"""</f>
        <v>"NAV2018","ALSA Live","15","1","81400"</v>
      </c>
      <c r="D64" s="14" t="str">
        <f>"81400"</f>
        <v>81400</v>
      </c>
      <c r="E64" s="14" t="str">
        <f>"Insurance "</f>
        <v xml:space="preserve">Insurance </v>
      </c>
      <c r="F64" s="19">
        <v>-1256</v>
      </c>
      <c r="H64" s="19">
        <v>-1275</v>
      </c>
      <c r="J64" s="19">
        <v>-1275</v>
      </c>
      <c r="L64" s="32">
        <f t="shared" si="4"/>
        <v>19</v>
      </c>
      <c r="N64" s="36">
        <f t="shared" si="5"/>
        <v>-1.4901960784313726E-2</v>
      </c>
    </row>
    <row r="65" spans="1:14" x14ac:dyDescent="0.2">
      <c r="A65" s="13" t="s">
        <v>56</v>
      </c>
      <c r="C65" s="13" t="str">
        <f>"""NAV2018"",""ALSA Live"",""15"",""1"",""81500"""</f>
        <v>"NAV2018","ALSA Live","15","1","81500"</v>
      </c>
      <c r="D65" s="14" t="str">
        <f>"81500"</f>
        <v>81500</v>
      </c>
      <c r="E65" s="14" t="str">
        <f>"Licences &amp; Fees "</f>
        <v xml:space="preserve">Licences &amp; Fees </v>
      </c>
      <c r="F65" s="19">
        <v>-239</v>
      </c>
      <c r="H65" s="19">
        <v>-300</v>
      </c>
      <c r="J65" s="19">
        <v>-235</v>
      </c>
      <c r="L65" s="32">
        <f t="shared" si="4"/>
        <v>61</v>
      </c>
      <c r="N65" s="36">
        <f t="shared" si="5"/>
        <v>-0.20333333333333334</v>
      </c>
    </row>
    <row r="66" spans="1:14" x14ac:dyDescent="0.2">
      <c r="A66" s="13" t="s">
        <v>56</v>
      </c>
      <c r="C66" s="13" t="str">
        <f>"""NAV2018"",""ALSA Live"",""15"",""1"",""81600"""</f>
        <v>"NAV2018","ALSA Live","15","1","81600"</v>
      </c>
      <c r="D66" s="14" t="str">
        <f>"81600"</f>
        <v>81600</v>
      </c>
      <c r="E66" s="14" t="str">
        <f>"Non-deductible penalties "</f>
        <v xml:space="preserve">Non-deductible penalties </v>
      </c>
      <c r="F66" s="19">
        <v>0</v>
      </c>
      <c r="H66" s="19">
        <v>0</v>
      </c>
      <c r="J66" s="19">
        <v>0</v>
      </c>
      <c r="L66" s="32">
        <f t="shared" si="4"/>
        <v>0</v>
      </c>
      <c r="N66" s="36" t="str">
        <f t="shared" si="5"/>
        <v xml:space="preserve"> </v>
      </c>
    </row>
    <row r="67" spans="1:14" x14ac:dyDescent="0.2">
      <c r="A67" s="13" t="s">
        <v>56</v>
      </c>
      <c r="C67" s="13" t="str">
        <f>"""NAV2018"",""ALSA Live"",""15"",""1"",""82100"""</f>
        <v>"NAV2018","ALSA Live","15","1","82100"</v>
      </c>
      <c r="D67" s="14" t="str">
        <f>"82100"</f>
        <v>82100</v>
      </c>
      <c r="E67" s="14" t="str">
        <f>"Copying &amp; Printing "</f>
        <v xml:space="preserve">Copying &amp; Printing </v>
      </c>
      <c r="F67" s="19">
        <v>-243.59</v>
      </c>
      <c r="H67" s="19">
        <v>-800</v>
      </c>
      <c r="J67" s="19">
        <v>-411.96</v>
      </c>
      <c r="L67" s="32">
        <f t="shared" si="4"/>
        <v>556.41</v>
      </c>
      <c r="N67" s="36">
        <f t="shared" si="5"/>
        <v>-0.69551249999999998</v>
      </c>
    </row>
    <row r="68" spans="1:14" x14ac:dyDescent="0.2">
      <c r="A68" s="13" t="s">
        <v>56</v>
      </c>
      <c r="C68" s="13" t="str">
        <f>"""NAV2018"",""ALSA Live"",""15"",""1"",""82200"""</f>
        <v>"NAV2018","ALSA Live","15","1","82200"</v>
      </c>
      <c r="D68" s="14" t="str">
        <f>"82200"</f>
        <v>82200</v>
      </c>
      <c r="E68" s="14" t="str">
        <f>"Internet Updates"</f>
        <v>Internet Updates</v>
      </c>
      <c r="F68" s="19">
        <v>0</v>
      </c>
      <c r="H68" s="19">
        <v>0</v>
      </c>
      <c r="J68" s="19">
        <v>0</v>
      </c>
      <c r="L68" s="32">
        <f t="shared" si="4"/>
        <v>0</v>
      </c>
      <c r="N68" s="36" t="str">
        <f t="shared" si="5"/>
        <v xml:space="preserve"> </v>
      </c>
    </row>
    <row r="69" spans="1:14" x14ac:dyDescent="0.2">
      <c r="A69" s="13" t="s">
        <v>56</v>
      </c>
      <c r="C69" s="13" t="str">
        <f>"""NAV2018"",""ALSA Live"",""15"",""1"",""82250"""</f>
        <v>"NAV2018","ALSA Live","15","1","82250"</v>
      </c>
      <c r="D69" s="14" t="str">
        <f>"82250"</f>
        <v>82250</v>
      </c>
      <c r="E69" s="14" t="str">
        <f>"IT Support "</f>
        <v xml:space="preserve">IT Support </v>
      </c>
      <c r="F69" s="19">
        <v>-2275.91</v>
      </c>
      <c r="H69" s="19">
        <v>-1999.9999999999998</v>
      </c>
      <c r="J69" s="19">
        <v>-1015.1999999999999</v>
      </c>
      <c r="L69" s="32">
        <f t="shared" si="4"/>
        <v>-275.91000000000008</v>
      </c>
      <c r="N69" s="36">
        <f t="shared" si="5"/>
        <v>0.13795500000000005</v>
      </c>
    </row>
    <row r="70" spans="1:14" x14ac:dyDescent="0.2">
      <c r="A70" s="13" t="s">
        <v>56</v>
      </c>
      <c r="C70" s="13" t="str">
        <f>"""NAV2018"",""ALSA Live"",""15"",""1"",""82255"""</f>
        <v>"NAV2018","ALSA Live","15","1","82255"</v>
      </c>
      <c r="D70" s="14" t="str">
        <f>"82255"</f>
        <v>82255</v>
      </c>
      <c r="E70" s="14" t="str">
        <f>"Accounting Services"</f>
        <v>Accounting Services</v>
      </c>
      <c r="F70" s="19">
        <v>-24000</v>
      </c>
      <c r="H70" s="19">
        <v>-24000</v>
      </c>
      <c r="J70" s="19">
        <v>-24000</v>
      </c>
      <c r="L70" s="32">
        <f t="shared" si="4"/>
        <v>0</v>
      </c>
      <c r="N70" s="36">
        <f t="shared" si="5"/>
        <v>0</v>
      </c>
    </row>
    <row r="71" spans="1:14" x14ac:dyDescent="0.2">
      <c r="A71" s="13" t="s">
        <v>56</v>
      </c>
      <c r="C71" s="13" t="str">
        <f>"""NAV2018"",""ALSA Live"",""15"",""1"",""82260"""</f>
        <v>"NAV2018","ALSA Live","15","1","82260"</v>
      </c>
      <c r="D71" s="14" t="str">
        <f>"82260"</f>
        <v>82260</v>
      </c>
      <c r="E71" s="14" t="str">
        <f>"Part-time Admin Support"</f>
        <v>Part-time Admin Support</v>
      </c>
      <c r="F71" s="19">
        <v>0</v>
      </c>
      <c r="H71" s="19">
        <v>0</v>
      </c>
      <c r="J71" s="19">
        <v>0</v>
      </c>
      <c r="L71" s="32">
        <f t="shared" si="4"/>
        <v>0</v>
      </c>
      <c r="N71" s="36" t="str">
        <f t="shared" si="5"/>
        <v xml:space="preserve"> </v>
      </c>
    </row>
    <row r="72" spans="1:14" x14ac:dyDescent="0.2">
      <c r="A72" s="13" t="s">
        <v>56</v>
      </c>
      <c r="C72" s="13" t="str">
        <f>"""NAV2018"",""ALSA Live"",""15"",""1"",""82270"""</f>
        <v>"NAV2018","ALSA Live","15","1","82270"</v>
      </c>
      <c r="D72" s="14" t="str">
        <f>"82270"</f>
        <v>82270</v>
      </c>
      <c r="E72" s="14" t="str">
        <f>"Janitorial "</f>
        <v xml:space="preserve">Janitorial </v>
      </c>
      <c r="F72" s="19">
        <v>0</v>
      </c>
      <c r="H72" s="19">
        <v>0</v>
      </c>
      <c r="J72" s="19">
        <v>0</v>
      </c>
      <c r="L72" s="32">
        <f t="shared" si="4"/>
        <v>0</v>
      </c>
      <c r="N72" s="36" t="str">
        <f t="shared" si="5"/>
        <v xml:space="preserve"> </v>
      </c>
    </row>
    <row r="73" spans="1:14" x14ac:dyDescent="0.2">
      <c r="A73" s="13" t="s">
        <v>56</v>
      </c>
      <c r="C73" s="13" t="str">
        <f>"""NAV2018"",""ALSA Live"",""15"",""1"",""82300"""</f>
        <v>"NAV2018","ALSA Live","15","1","82300"</v>
      </c>
      <c r="D73" s="14" t="str">
        <f>"82300"</f>
        <v>82300</v>
      </c>
      <c r="E73" s="14" t="str">
        <f>"Minor Equipment"</f>
        <v>Minor Equipment</v>
      </c>
      <c r="F73" s="19">
        <v>0</v>
      </c>
      <c r="H73" s="19">
        <v>0</v>
      </c>
      <c r="J73" s="19">
        <v>0</v>
      </c>
      <c r="L73" s="32">
        <f t="shared" si="4"/>
        <v>0</v>
      </c>
      <c r="N73" s="36" t="str">
        <f t="shared" si="5"/>
        <v xml:space="preserve"> </v>
      </c>
    </row>
    <row r="74" spans="1:14" x14ac:dyDescent="0.2">
      <c r="A74" s="13" t="s">
        <v>56</v>
      </c>
      <c r="C74" s="13" t="str">
        <f>"""NAV2018"",""ALSA Live"",""15"",""1"",""82400"""</f>
        <v>"NAV2018","ALSA Live","15","1","82400"</v>
      </c>
      <c r="D74" s="14" t="str">
        <f>"82400"</f>
        <v>82400</v>
      </c>
      <c r="E74" s="14" t="str">
        <f>"Miscellaneous "</f>
        <v xml:space="preserve">Miscellaneous </v>
      </c>
      <c r="F74" s="19">
        <v>0</v>
      </c>
      <c r="H74" s="19">
        <v>0</v>
      </c>
      <c r="J74" s="19">
        <v>0</v>
      </c>
      <c r="L74" s="32">
        <f t="shared" si="4"/>
        <v>0</v>
      </c>
      <c r="N74" s="36" t="str">
        <f t="shared" si="5"/>
        <v xml:space="preserve"> </v>
      </c>
    </row>
    <row r="75" spans="1:14" x14ac:dyDescent="0.2">
      <c r="A75" s="13" t="s">
        <v>56</v>
      </c>
      <c r="C75" s="13" t="str">
        <f>"""NAV2018"",""ALSA Live"",""15"",""1"",""82450"""</f>
        <v>"NAV2018","ALSA Live","15","1","82450"</v>
      </c>
      <c r="D75" s="14" t="str">
        <f>"82450"</f>
        <v>82450</v>
      </c>
      <c r="E75" s="14" t="str">
        <f>"Moving Expenses"</f>
        <v>Moving Expenses</v>
      </c>
      <c r="F75" s="19">
        <v>0</v>
      </c>
      <c r="H75" s="19">
        <v>0</v>
      </c>
      <c r="J75" s="19">
        <v>0</v>
      </c>
      <c r="L75" s="32">
        <f t="shared" si="4"/>
        <v>0</v>
      </c>
      <c r="N75" s="36" t="str">
        <f t="shared" si="5"/>
        <v xml:space="preserve"> </v>
      </c>
    </row>
    <row r="76" spans="1:14" x14ac:dyDescent="0.2">
      <c r="A76" s="13" t="s">
        <v>56</v>
      </c>
      <c r="C76" s="13" t="str">
        <f>"""NAV2018"",""ALSA Live"",""15"",""1"",""82500"""</f>
        <v>"NAV2018","ALSA Live","15","1","82500"</v>
      </c>
      <c r="D76" s="14" t="str">
        <f>"82500"</f>
        <v>82500</v>
      </c>
      <c r="E76" s="14" t="str">
        <f>"Office Supplies"</f>
        <v>Office Supplies</v>
      </c>
      <c r="F76" s="19">
        <v>-1125.1100000000001</v>
      </c>
      <c r="H76" s="19">
        <v>-3000</v>
      </c>
      <c r="J76" s="19">
        <v>-2661.53</v>
      </c>
      <c r="L76" s="32">
        <f t="shared" si="4"/>
        <v>1874.8899999999999</v>
      </c>
      <c r="N76" s="36">
        <f t="shared" si="5"/>
        <v>-0.62496333333333332</v>
      </c>
    </row>
    <row r="77" spans="1:14" x14ac:dyDescent="0.2">
      <c r="A77" s="13" t="s">
        <v>56</v>
      </c>
      <c r="C77" s="13" t="str">
        <f>"""NAV2018"",""ALSA Live"",""15"",""1"",""82600"""</f>
        <v>"NAV2018","ALSA Live","15","1","82600"</v>
      </c>
      <c r="D77" s="14" t="str">
        <f>"82600"</f>
        <v>82600</v>
      </c>
      <c r="E77" s="14" t="str">
        <f>"Postage &amp; Courier"</f>
        <v>Postage &amp; Courier</v>
      </c>
      <c r="F77" s="19">
        <v>-1635.6299999999999</v>
      </c>
      <c r="H77" s="19">
        <v>-1500</v>
      </c>
      <c r="J77" s="19">
        <v>-1169.5</v>
      </c>
      <c r="L77" s="32">
        <f t="shared" si="4"/>
        <v>-135.62999999999988</v>
      </c>
      <c r="N77" s="36">
        <f t="shared" si="5"/>
        <v>9.0419999999999917E-2</v>
      </c>
    </row>
    <row r="78" spans="1:14" x14ac:dyDescent="0.2">
      <c r="A78" s="13" t="s">
        <v>56</v>
      </c>
      <c r="C78" s="13" t="str">
        <f>"""NAV2018"",""ALSA Live"",""15"",""1"",""82700"""</f>
        <v>"NAV2018","ALSA Live","15","1","82700"</v>
      </c>
      <c r="D78" s="14" t="str">
        <f>"82700"</f>
        <v>82700</v>
      </c>
      <c r="E78" s="14" t="str">
        <f>"Rent Expense "</f>
        <v xml:space="preserve">Rent Expense </v>
      </c>
      <c r="F78" s="19">
        <v>-12000</v>
      </c>
      <c r="H78" s="19">
        <v>-12000</v>
      </c>
      <c r="J78" s="19">
        <v>-12000</v>
      </c>
      <c r="L78" s="32">
        <f t="shared" si="4"/>
        <v>0</v>
      </c>
      <c r="N78" s="36">
        <f t="shared" si="5"/>
        <v>0</v>
      </c>
    </row>
    <row r="79" spans="1:14" x14ac:dyDescent="0.2">
      <c r="A79" s="13" t="s">
        <v>56</v>
      </c>
      <c r="C79" s="13" t="str">
        <f>"""NAV2018"",""ALSA Live"",""15"",""1"",""82750"""</f>
        <v>"NAV2018","ALSA Live","15","1","82750"</v>
      </c>
      <c r="D79" s="14" t="str">
        <f>"82750"</f>
        <v>82750</v>
      </c>
      <c r="E79" s="14" t="str">
        <f>"Security"</f>
        <v>Security</v>
      </c>
      <c r="F79" s="19">
        <v>0</v>
      </c>
      <c r="H79" s="19">
        <v>0</v>
      </c>
      <c r="J79" s="19">
        <v>0</v>
      </c>
      <c r="L79" s="32">
        <f t="shared" si="4"/>
        <v>0</v>
      </c>
      <c r="N79" s="36" t="str">
        <f t="shared" si="5"/>
        <v xml:space="preserve"> </v>
      </c>
    </row>
    <row r="80" spans="1:14" x14ac:dyDescent="0.2">
      <c r="A80" s="13" t="s">
        <v>56</v>
      </c>
      <c r="C80" s="13" t="str">
        <f>"""NAV2018"",""ALSA Live"",""15"",""1"",""82800"""</f>
        <v>"NAV2018","ALSA Live","15","1","82800"</v>
      </c>
      <c r="D80" s="14" t="str">
        <f>"82800"</f>
        <v>82800</v>
      </c>
      <c r="E80" s="14" t="str">
        <f>"Shipping and Handling "</f>
        <v xml:space="preserve">Shipping and Handling </v>
      </c>
      <c r="F80" s="19">
        <v>0</v>
      </c>
      <c r="H80" s="19">
        <v>0</v>
      </c>
      <c r="J80" s="19">
        <v>0</v>
      </c>
      <c r="L80" s="32">
        <f t="shared" si="4"/>
        <v>0</v>
      </c>
      <c r="N80" s="36" t="str">
        <f t="shared" si="5"/>
        <v xml:space="preserve"> </v>
      </c>
    </row>
    <row r="81" spans="1:14" x14ac:dyDescent="0.2">
      <c r="A81" s="13" t="s">
        <v>56</v>
      </c>
      <c r="C81" s="13" t="str">
        <f>"""NAV2018"",""ALSA Live"",""15"",""1"",""82850"""</f>
        <v>"NAV2018","ALSA Live","15","1","82850"</v>
      </c>
      <c r="D81" s="14" t="str">
        <f>"82850"</f>
        <v>82850</v>
      </c>
      <c r="E81" s="14" t="str">
        <f>"Subscriptions "</f>
        <v xml:space="preserve">Subscriptions </v>
      </c>
      <c r="F81" s="19">
        <v>0</v>
      </c>
      <c r="H81" s="19">
        <v>0</v>
      </c>
      <c r="J81" s="19">
        <v>-129</v>
      </c>
      <c r="L81" s="32">
        <f t="shared" si="4"/>
        <v>0</v>
      </c>
      <c r="N81" s="36" t="str">
        <f t="shared" si="5"/>
        <v xml:space="preserve"> </v>
      </c>
    </row>
    <row r="82" spans="1:14" x14ac:dyDescent="0.2">
      <c r="A82" s="13" t="s">
        <v>56</v>
      </c>
      <c r="C82" s="13" t="str">
        <f>"""NAV2018"",""ALSA Live"",""15"",""1"",""82900"""</f>
        <v>"NAV2018","ALSA Live","15","1","82900"</v>
      </c>
      <c r="D82" s="14" t="str">
        <f>"82900"</f>
        <v>82900</v>
      </c>
      <c r="E82" s="14" t="str">
        <f>"Staff Costs "</f>
        <v xml:space="preserve">Staff Costs </v>
      </c>
      <c r="F82" s="19">
        <v>0</v>
      </c>
      <c r="H82" s="19">
        <v>0</v>
      </c>
      <c r="J82" s="19">
        <v>0</v>
      </c>
      <c r="L82" s="32">
        <f t="shared" si="4"/>
        <v>0</v>
      </c>
      <c r="N82" s="36" t="str">
        <f t="shared" si="5"/>
        <v xml:space="preserve"> </v>
      </c>
    </row>
    <row r="83" spans="1:14" x14ac:dyDescent="0.2">
      <c r="A83" s="13" t="s">
        <v>56</v>
      </c>
      <c r="C83" s="13" t="str">
        <f>"""NAV2018"",""ALSA Live"",""15"",""1"",""82950"""</f>
        <v>"NAV2018","ALSA Live","15","1","82950"</v>
      </c>
      <c r="D83" s="14" t="str">
        <f>"82950"</f>
        <v>82950</v>
      </c>
      <c r="E83" s="14" t="str">
        <f>"Telephone "</f>
        <v xml:space="preserve">Telephone </v>
      </c>
      <c r="F83" s="19">
        <v>-3842.7000000000003</v>
      </c>
      <c r="H83" s="19">
        <v>-3600</v>
      </c>
      <c r="J83" s="19">
        <v>-3468.3799999999997</v>
      </c>
      <c r="L83" s="32">
        <f t="shared" si="4"/>
        <v>-242.70000000000027</v>
      </c>
      <c r="N83" s="36">
        <f t="shared" si="5"/>
        <v>6.7416666666666736E-2</v>
      </c>
    </row>
    <row r="84" spans="1:14" x14ac:dyDescent="0.2">
      <c r="A84" s="13" t="s">
        <v>56</v>
      </c>
      <c r="C84" s="13" t="str">
        <f>"""NAV2018"",""ALSA Live"",""15"",""1"",""83100"""</f>
        <v>"NAV2018","ALSA Live","15","1","83100"</v>
      </c>
      <c r="D84" s="14" t="str">
        <f>"83100"</f>
        <v>83100</v>
      </c>
      <c r="E84" s="14" t="str">
        <f>"Audit Fees"</f>
        <v>Audit Fees</v>
      </c>
      <c r="F84" s="19">
        <v>0</v>
      </c>
      <c r="H84" s="19">
        <v>-8200</v>
      </c>
      <c r="J84" s="19">
        <v>-8124.9999999999991</v>
      </c>
      <c r="L84" s="32">
        <f t="shared" si="4"/>
        <v>8200</v>
      </c>
      <c r="N84" s="36">
        <f t="shared" si="5"/>
        <v>-1</v>
      </c>
    </row>
    <row r="85" spans="1:14" x14ac:dyDescent="0.2">
      <c r="A85" s="13" t="s">
        <v>56</v>
      </c>
      <c r="C85" s="13" t="str">
        <f>"""NAV2018"",""ALSA Live"",""15"",""1"",""83200"""</f>
        <v>"NAV2018","ALSA Live","15","1","83200"</v>
      </c>
      <c r="D85" s="14" t="str">
        <f>"83200"</f>
        <v>83200</v>
      </c>
      <c r="E85" s="14" t="str">
        <f>"Legal Fees"</f>
        <v>Legal Fees</v>
      </c>
      <c r="F85" s="19">
        <v>0</v>
      </c>
      <c r="H85" s="19">
        <v>0</v>
      </c>
      <c r="J85" s="19">
        <v>0</v>
      </c>
      <c r="L85" s="32">
        <f t="shared" si="4"/>
        <v>0</v>
      </c>
      <c r="N85" s="36" t="str">
        <f t="shared" si="5"/>
        <v xml:space="preserve"> </v>
      </c>
    </row>
    <row r="86" spans="1:14" x14ac:dyDescent="0.2">
      <c r="A86" s="13" t="s">
        <v>56</v>
      </c>
      <c r="C86" s="13" t="str">
        <f>"""NAV2018"",""ALSA Live"",""15"",""1"",""84100"""</f>
        <v>"NAV2018","ALSA Live","15","1","84100"</v>
      </c>
      <c r="D86" s="14" t="str">
        <f>"84100"</f>
        <v>84100</v>
      </c>
      <c r="E86" s="14" t="str">
        <f>"Salaries"</f>
        <v>Salaries</v>
      </c>
      <c r="F86" s="19">
        <v>-215977.97000000003</v>
      </c>
      <c r="H86" s="19">
        <v>-238550</v>
      </c>
      <c r="J86" s="19">
        <v>-238552.86</v>
      </c>
      <c r="L86" s="32">
        <f t="shared" si="4"/>
        <v>22572.02999999997</v>
      </c>
      <c r="N86" s="36">
        <f t="shared" si="5"/>
        <v>-9.4621798365122495E-2</v>
      </c>
    </row>
    <row r="87" spans="1:14" x14ac:dyDescent="0.2">
      <c r="A87" s="13" t="s">
        <v>56</v>
      </c>
      <c r="C87" s="13" t="str">
        <f>"""NAV2018"",""ALSA Live"",""15"",""1"",""84110"""</f>
        <v>"NAV2018","ALSA Live","15","1","84110"</v>
      </c>
      <c r="D87" s="14" t="str">
        <f>"84110"</f>
        <v>84110</v>
      </c>
      <c r="E87" s="14" t="str">
        <f>"Benefit: CPP"</f>
        <v>Benefit: CPP</v>
      </c>
      <c r="F87" s="19">
        <v>-4021.2799999999997</v>
      </c>
      <c r="H87" s="19">
        <v>-5000</v>
      </c>
      <c r="J87" s="19">
        <v>-4782.54</v>
      </c>
      <c r="L87" s="32">
        <f t="shared" si="4"/>
        <v>978.72000000000025</v>
      </c>
      <c r="N87" s="36">
        <f t="shared" si="5"/>
        <v>-0.19574400000000006</v>
      </c>
    </row>
    <row r="88" spans="1:14" x14ac:dyDescent="0.2">
      <c r="A88" s="13" t="s">
        <v>56</v>
      </c>
      <c r="C88" s="13" t="str">
        <f>"""NAV2018"",""ALSA Live"",""15"",""1"",""84120"""</f>
        <v>"NAV2018","ALSA Live","15","1","84120"</v>
      </c>
      <c r="D88" s="14" t="str">
        <f>"84120"</f>
        <v>84120</v>
      </c>
      <c r="E88" s="14" t="str">
        <f>"Benefit: EI"</f>
        <v>Benefit: EI</v>
      </c>
      <c r="F88" s="19">
        <v>-2941.81</v>
      </c>
      <c r="H88" s="19">
        <v>-3999.9999999999995</v>
      </c>
      <c r="J88" s="19">
        <v>-3420.83</v>
      </c>
      <c r="L88" s="32">
        <f t="shared" si="4"/>
        <v>1058.1899999999996</v>
      </c>
      <c r="N88" s="36">
        <f t="shared" si="5"/>
        <v>-0.26454749999999994</v>
      </c>
    </row>
    <row r="89" spans="1:14" x14ac:dyDescent="0.2">
      <c r="A89" s="13" t="s">
        <v>56</v>
      </c>
      <c r="C89" s="13" t="str">
        <f>"""NAV2018"",""ALSA Live"",""15"",""1"",""84200"""</f>
        <v>"NAV2018","ALSA Live","15","1","84200"</v>
      </c>
      <c r="D89" s="14" t="str">
        <f>"84200"</f>
        <v>84200</v>
      </c>
      <c r="E89" s="14" t="str">
        <f>"Benefit: Health Plan"</f>
        <v>Benefit: Health Plan</v>
      </c>
      <c r="F89" s="19">
        <v>-4052.5199999999995</v>
      </c>
      <c r="H89" s="19">
        <v>-10000</v>
      </c>
      <c r="J89" s="19">
        <v>-9028.24</v>
      </c>
      <c r="L89" s="32">
        <f t="shared" si="4"/>
        <v>5947.4800000000005</v>
      </c>
      <c r="N89" s="36">
        <f t="shared" si="5"/>
        <v>-0.59474800000000005</v>
      </c>
    </row>
    <row r="90" spans="1:14" x14ac:dyDescent="0.2">
      <c r="A90" s="13" t="s">
        <v>56</v>
      </c>
      <c r="C90" s="13" t="str">
        <f>"""NAV2018"",""ALSA Live"",""15"",""1"",""84450"""</f>
        <v>"NAV2018","ALSA Live","15","1","84450"</v>
      </c>
      <c r="D90" s="14" t="str">
        <f>"84450"</f>
        <v>84450</v>
      </c>
      <c r="E90" s="14" t="str">
        <f>"Taxable Allowance"</f>
        <v>Taxable Allowance</v>
      </c>
      <c r="F90" s="19">
        <v>-3700.0800000000004</v>
      </c>
      <c r="H90" s="19">
        <v>-3999.9999999999995</v>
      </c>
      <c r="J90" s="19">
        <v>-3700.0800000000004</v>
      </c>
      <c r="L90" s="32">
        <f t="shared" si="4"/>
        <v>299.91999999999916</v>
      </c>
      <c r="N90" s="36">
        <f t="shared" si="5"/>
        <v>-7.4979999999999797E-2</v>
      </c>
    </row>
    <row r="91" spans="1:14" x14ac:dyDescent="0.2">
      <c r="A91" s="13" t="s">
        <v>56</v>
      </c>
      <c r="C91" s="13" t="str">
        <f>"""NAV2018"",""ALSA Live"",""15"",""1"",""84500"""</f>
        <v>"NAV2018","ALSA Live","15","1","84500"</v>
      </c>
      <c r="D91" s="14" t="str">
        <f>"84500"</f>
        <v>84500</v>
      </c>
      <c r="E91" s="14" t="str">
        <f>"Staff Development &amp; Training"</f>
        <v>Staff Development &amp; Training</v>
      </c>
      <c r="F91" s="19">
        <v>0</v>
      </c>
      <c r="H91" s="19">
        <v>0</v>
      </c>
      <c r="J91" s="19">
        <v>0</v>
      </c>
      <c r="L91" s="32">
        <f t="shared" si="4"/>
        <v>0</v>
      </c>
      <c r="N91" s="36" t="str">
        <f t="shared" si="5"/>
        <v xml:space="preserve"> </v>
      </c>
    </row>
    <row r="92" spans="1:14" x14ac:dyDescent="0.2">
      <c r="A92" s="13" t="s">
        <v>56</v>
      </c>
      <c r="C92" s="13" t="str">
        <f>"""NAV2018"",""ALSA Live"",""15"",""1"",""84600"""</f>
        <v>"NAV2018","ALSA Live","15","1","84600"</v>
      </c>
      <c r="D92" s="14" t="str">
        <f>"84600"</f>
        <v>84600</v>
      </c>
      <c r="E92" s="14" t="str">
        <f>"Employment advertising "</f>
        <v xml:space="preserve">Employment advertising </v>
      </c>
      <c r="F92" s="19">
        <v>0</v>
      </c>
      <c r="H92" s="19">
        <v>0</v>
      </c>
      <c r="J92" s="19">
        <v>0</v>
      </c>
      <c r="L92" s="32">
        <f t="shared" si="4"/>
        <v>0</v>
      </c>
      <c r="N92" s="36" t="str">
        <f t="shared" si="5"/>
        <v xml:space="preserve"> </v>
      </c>
    </row>
    <row r="93" spans="1:14" x14ac:dyDescent="0.2">
      <c r="C93" s="13" t="s">
        <v>442</v>
      </c>
      <c r="D93" s="14" t="str">
        <f>"91000"</f>
        <v>91000</v>
      </c>
      <c r="E93" s="14" t="str">
        <f>"Amortization"</f>
        <v>Amortization</v>
      </c>
      <c r="F93" s="19">
        <v>-1570.64</v>
      </c>
      <c r="H93" s="19">
        <v>-1500</v>
      </c>
      <c r="J93" s="19">
        <v>-1613.03</v>
      </c>
      <c r="L93" s="32">
        <f>F93-H93</f>
        <v>-70.6400000000001</v>
      </c>
      <c r="N93" s="36">
        <f>IF(H93=0," ",IF(AND(H93&lt;0,F93&lt;0),L93/H93,IF(AND(H93&lt;0,F93&gt;0),L93/H93,IF(AND(H93&gt;0,F93&gt;0),-L93/H93,IF(AND(H93&gt;0,F93&lt;0),-L93/H93,IF(AND(H93&lt;0,F93=0),L93/H93,IF(AND(H93&gt;0,F93=0),-L93/H93)))))))</f>
        <v>4.7093333333333397E-2</v>
      </c>
    </row>
    <row r="94" spans="1:14" x14ac:dyDescent="0.2">
      <c r="A94" s="13" t="s">
        <v>56</v>
      </c>
      <c r="C94" s="13" t="str">
        <f>"""NAV2018"",""ALSA Live"",""15"",""1"",""92000"""</f>
        <v>"NAV2018","ALSA Live","15","1","92000"</v>
      </c>
      <c r="D94" s="14" t="str">
        <f>"92000"</f>
        <v>92000</v>
      </c>
      <c r="E94" s="14" t="str">
        <f>"Bad debt expense "</f>
        <v xml:space="preserve">Bad debt expense </v>
      </c>
      <c r="F94" s="19">
        <v>0</v>
      </c>
      <c r="H94" s="19">
        <v>0</v>
      </c>
      <c r="J94" s="19">
        <v>0</v>
      </c>
      <c r="L94" s="32">
        <f t="shared" ref="L94:L99" si="6">F94-H94</f>
        <v>0</v>
      </c>
      <c r="N94" s="36" t="str">
        <f t="shared" ref="N94:N99" si="7">IF(H94=0," ",IF(AND(H94&lt;0,F94&lt;0),L94/H94,IF(AND(H94&lt;0,F94&gt;0),L94/H94,IF(AND(H94&gt;0,F94&gt;0),-L94/H94,IF(AND(H94&gt;0,F94&lt;0),-L94/H94,IF(AND(H94&lt;0,F94=0),L94/H94,IF(AND(H94&gt;0,F94=0),-L94/H94)))))))</f>
        <v xml:space="preserve"> </v>
      </c>
    </row>
    <row r="95" spans="1:14" x14ac:dyDescent="0.2">
      <c r="A95" s="13" t="s">
        <v>56</v>
      </c>
      <c r="C95" s="13" t="str">
        <f>"""NAV2018"",""ALSA Live"",""15"",""1"",""93000"""</f>
        <v>"NAV2018","ALSA Live","15","1","93000"</v>
      </c>
      <c r="D95" s="14" t="str">
        <f>"93000"</f>
        <v>93000</v>
      </c>
      <c r="E95" s="14" t="str">
        <f>"Cash short/over "</f>
        <v xml:space="preserve">Cash short/over </v>
      </c>
      <c r="F95" s="19">
        <v>0</v>
      </c>
      <c r="H95" s="19">
        <v>0</v>
      </c>
      <c r="J95" s="19">
        <v>0</v>
      </c>
      <c r="L95" s="32">
        <f t="shared" si="6"/>
        <v>0</v>
      </c>
      <c r="N95" s="36" t="str">
        <f t="shared" si="7"/>
        <v xml:space="preserve"> </v>
      </c>
    </row>
    <row r="96" spans="1:14" x14ac:dyDescent="0.2">
      <c r="A96" s="13" t="s">
        <v>56</v>
      </c>
      <c r="C96" s="13" t="str">
        <f>"""NAV2018"",""ALSA Live"",""15"",""1"",""94000"""</f>
        <v>"NAV2018","ALSA Live","15","1","94000"</v>
      </c>
      <c r="D96" s="14" t="str">
        <f>"94000"</f>
        <v>94000</v>
      </c>
      <c r="E96" s="14" t="str">
        <f>"Exchange gain/loss"</f>
        <v>Exchange gain/loss</v>
      </c>
      <c r="F96" s="19">
        <v>0</v>
      </c>
      <c r="H96" s="19">
        <v>0</v>
      </c>
      <c r="J96" s="19">
        <v>0</v>
      </c>
      <c r="L96" s="32">
        <f t="shared" si="6"/>
        <v>0</v>
      </c>
      <c r="N96" s="36" t="str">
        <f t="shared" si="7"/>
        <v xml:space="preserve"> </v>
      </c>
    </row>
    <row r="97" spans="1:14" x14ac:dyDescent="0.2">
      <c r="A97" s="13" t="s">
        <v>56</v>
      </c>
      <c r="C97" s="13" t="str">
        <f>"""NAV2018"",""ALSA Live"",""15"",""1"",""94200"""</f>
        <v>"NAV2018","ALSA Live","15","1","94200"</v>
      </c>
      <c r="D97" s="14" t="str">
        <f>"94200"</f>
        <v>94200</v>
      </c>
      <c r="E97" s="14" t="str">
        <f>"Fixed Asset Disp Gain (Loss)"</f>
        <v>Fixed Asset Disp Gain (Loss)</v>
      </c>
      <c r="F97" s="19">
        <v>0</v>
      </c>
      <c r="H97" s="19">
        <v>0</v>
      </c>
      <c r="J97" s="19">
        <v>0</v>
      </c>
      <c r="L97" s="32">
        <f t="shared" si="6"/>
        <v>0</v>
      </c>
      <c r="N97" s="36" t="str">
        <f t="shared" si="7"/>
        <v xml:space="preserve"> </v>
      </c>
    </row>
    <row r="98" spans="1:14" x14ac:dyDescent="0.2">
      <c r="A98" s="13" t="s">
        <v>56</v>
      </c>
      <c r="C98" s="13" t="str">
        <f>"""NAV2018"",""ALSA Live"",""15"",""1"",""94500"""</f>
        <v>"NAV2018","ALSA Live","15","1","94500"</v>
      </c>
      <c r="D98" s="14" t="str">
        <f>"94500"</f>
        <v>94500</v>
      </c>
      <c r="E98" s="14" t="str">
        <f>"Extraordinary Expense"</f>
        <v>Extraordinary Expense</v>
      </c>
      <c r="F98" s="19">
        <v>-10024.75</v>
      </c>
      <c r="H98" s="19">
        <v>0</v>
      </c>
      <c r="J98" s="19">
        <v>0</v>
      </c>
      <c r="L98" s="32">
        <f t="shared" si="6"/>
        <v>-10024.75</v>
      </c>
      <c r="N98" s="36" t="str">
        <f t="shared" si="7"/>
        <v xml:space="preserve"> </v>
      </c>
    </row>
    <row r="99" spans="1:14" x14ac:dyDescent="0.2">
      <c r="A99" s="13" t="s">
        <v>56</v>
      </c>
      <c r="C99" s="13" t="str">
        <f>"""NAV2018"",""ALSA Live"",""15"",""1"",""94600"""</f>
        <v>"NAV2018","ALSA Live","15","1","94600"</v>
      </c>
      <c r="D99" s="14" t="str">
        <f>"94600"</f>
        <v>94600</v>
      </c>
      <c r="E99" s="14" t="str">
        <f>"Unrecoverable GST Expense"</f>
        <v>Unrecoverable GST Expense</v>
      </c>
      <c r="F99" s="19">
        <v>-107.38</v>
      </c>
      <c r="H99" s="19">
        <v>0</v>
      </c>
      <c r="J99" s="19">
        <v>-71.47</v>
      </c>
      <c r="L99" s="32">
        <f t="shared" si="6"/>
        <v>-107.38</v>
      </c>
      <c r="N99" s="36" t="str">
        <f t="shared" si="7"/>
        <v xml:space="preserve"> </v>
      </c>
    </row>
    <row r="101" spans="1:14" x14ac:dyDescent="0.2">
      <c r="C101" s="15"/>
      <c r="E101" s="14" t="s">
        <v>160</v>
      </c>
      <c r="F101" s="20">
        <f>SUBTOTAL(9,F61:F100)</f>
        <v>-292467.15000000008</v>
      </c>
      <c r="H101" s="20">
        <f>SUBTOTAL(9,H61:H100)</f>
        <v>-321725</v>
      </c>
      <c r="J101" s="20">
        <f>SUBTOTAL(9,J61:J100)</f>
        <v>-317623.25</v>
      </c>
      <c r="L101" s="37">
        <f>F101-H101</f>
        <v>29257.849999999919</v>
      </c>
      <c r="N101" s="38">
        <f>IF(H101=0," ",IF(AND(H101&lt;0,F101&lt;0),L101/H101,IF(AND(H101&lt;0,F101&gt;0),L101/H101,IF(AND(H101&gt;0,F101&gt;0),-L101/H101,IF(AND(H101&gt;0,F101&lt;0),-L101/H101,IF(AND(H101&lt;0,F101=0),L101/H101,IF(AND(H101&gt;0,F101=0),-L101/H101)))))))</f>
        <v>-9.0940554821664216E-2</v>
      </c>
    </row>
    <row r="103" spans="1:14" x14ac:dyDescent="0.2">
      <c r="D103" s="24"/>
      <c r="E103" s="14" t="s">
        <v>8</v>
      </c>
      <c r="F103" s="20">
        <f>SUBTOTAL(9,F38:F101)</f>
        <v>-727190.2300000001</v>
      </c>
      <c r="H103" s="20">
        <f>SUBTOTAL(9,H38:H101)</f>
        <v>-665225</v>
      </c>
      <c r="J103" s="20">
        <f>SUBTOTAL(9,J38:J101)</f>
        <v>-508410.12999999995</v>
      </c>
      <c r="L103" s="37">
        <f>F103-H103</f>
        <v>-61965.230000000098</v>
      </c>
      <c r="N103" s="38">
        <f>IF(H103=0," ",IF(AND(H103&lt;0,F103&lt;0),-L103/H103,IF(AND(H103&lt;0,F103&gt;0),-L103/H103,IF(AND(H103&gt;0,F103&gt;0),L103/H103,IF(AND(H103&gt;0,F103&lt;0),L103/H103,IF(AND(H103&lt;0,F103=0),-L103/H103,IF(AND(H103&gt;0,F103=0),L103/H103)))))))</f>
        <v>-9.3149280318689312E-2</v>
      </c>
    </row>
    <row r="105" spans="1:14" ht="12" thickBot="1" x14ac:dyDescent="0.25">
      <c r="D105" s="24"/>
      <c r="E105" s="14" t="s">
        <v>1</v>
      </c>
      <c r="F105" s="25">
        <f>SUBTOTAL(9,F17:F103)</f>
        <v>-29454.260000000166</v>
      </c>
      <c r="H105" s="25">
        <f>SUBTOTAL(9,H17:H103)</f>
        <v>-7225</v>
      </c>
      <c r="J105" s="25">
        <f>SUBTOTAL(9,J17:J103)</f>
        <v>-26419.979999999894</v>
      </c>
      <c r="L105" s="39">
        <f>F105-H105</f>
        <v>-22229.260000000166</v>
      </c>
      <c r="N105" s="40">
        <f>IF(H105=0," ",IF(AND(H105&lt;0,F105&lt;0),-L105/H105,IF(AND(H105&lt;0,F105&gt;0),-L105/H105,IF(AND(H105&gt;0,F105&gt;0),L105/H105,IF(AND(H105&gt;0,F105&lt;0),L105/H105,IF(AND(H105&lt;0,F105=0),-L105/H105,IF(AND(H105&gt;0,F105=0),L105/H105)))))))</f>
        <v>-3.076714186851234</v>
      </c>
    </row>
    <row r="106" spans="1:14" ht="12" thickTop="1" x14ac:dyDescent="0.2"/>
    <row r="108" spans="1:14" x14ac:dyDescent="0.2">
      <c r="D108" s="33">
        <v>99999</v>
      </c>
      <c r="E108" s="13" t="s">
        <v>21</v>
      </c>
      <c r="F108" s="19">
        <v>-29454.260000000002</v>
      </c>
      <c r="H108" s="19">
        <v>-7225</v>
      </c>
      <c r="J108" s="19">
        <v>-26419.98</v>
      </c>
    </row>
    <row r="110" spans="1:14" x14ac:dyDescent="0.2">
      <c r="E110" s="13" t="s">
        <v>22</v>
      </c>
      <c r="F110" s="32">
        <f>F108-F105</f>
        <v>1.6370904631912708E-10</v>
      </c>
      <c r="H110" s="32">
        <f>H108-H105</f>
        <v>0</v>
      </c>
      <c r="J110" s="32">
        <f>J108-J105</f>
        <v>-1.0550138540565968E-10</v>
      </c>
    </row>
  </sheetData>
  <sheetProtection sheet="1" objects="1" scenarios="1"/>
  <phoneticPr fontId="0" type="noConversion"/>
  <pageMargins left="0.5" right="0.5" top="1" bottom="1" header="0.5" footer="0.5"/>
  <pageSetup scale="6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/>
  </sheetViews>
  <sheetFormatPr defaultRowHeight="12.75" x14ac:dyDescent="0.2"/>
  <sheetData>
    <row r="1" spans="1:14" x14ac:dyDescent="0.2">
      <c r="A1" s="43" t="s">
        <v>307</v>
      </c>
      <c r="B1" s="43" t="s">
        <v>4</v>
      </c>
      <c r="C1" s="43" t="s">
        <v>12</v>
      </c>
      <c r="D1" s="43" t="s">
        <v>17</v>
      </c>
      <c r="F1" s="43" t="s">
        <v>17</v>
      </c>
      <c r="G1" s="43" t="s">
        <v>17</v>
      </c>
      <c r="H1" s="43" t="s">
        <v>17</v>
      </c>
      <c r="I1" s="43" t="s">
        <v>17</v>
      </c>
      <c r="J1" s="43" t="s">
        <v>17</v>
      </c>
      <c r="K1" s="43" t="s">
        <v>17</v>
      </c>
      <c r="L1" s="43" t="s">
        <v>17</v>
      </c>
      <c r="M1" s="43" t="s">
        <v>17</v>
      </c>
      <c r="N1" s="43" t="s">
        <v>17</v>
      </c>
    </row>
    <row r="2" spans="1:14" x14ac:dyDescent="0.2">
      <c r="A2" s="43" t="s">
        <v>12</v>
      </c>
      <c r="B2" s="43" t="s">
        <v>11</v>
      </c>
    </row>
    <row r="3" spans="1:14" x14ac:dyDescent="0.2">
      <c r="A3" s="43" t="s">
        <v>12</v>
      </c>
      <c r="B3" s="43" t="s">
        <v>5</v>
      </c>
      <c r="C3" s="43" t="s">
        <v>26</v>
      </c>
      <c r="F3" s="43" t="s">
        <v>33</v>
      </c>
      <c r="H3" s="43" t="s">
        <v>368</v>
      </c>
      <c r="J3" s="43" t="s">
        <v>335</v>
      </c>
    </row>
    <row r="4" spans="1:14" x14ac:dyDescent="0.2">
      <c r="A4" s="43" t="s">
        <v>12</v>
      </c>
      <c r="B4" s="43" t="s">
        <v>2</v>
      </c>
      <c r="C4" s="43" t="s">
        <v>27</v>
      </c>
      <c r="F4" s="43" t="s">
        <v>34</v>
      </c>
      <c r="H4" s="43" t="s">
        <v>369</v>
      </c>
      <c r="J4" s="43" t="s">
        <v>336</v>
      </c>
    </row>
    <row r="5" spans="1:14" x14ac:dyDescent="0.2">
      <c r="A5" s="43" t="s">
        <v>12</v>
      </c>
      <c r="B5" s="43" t="s">
        <v>3</v>
      </c>
      <c r="C5" s="43" t="s">
        <v>28</v>
      </c>
      <c r="D5" s="43" t="s">
        <v>31</v>
      </c>
    </row>
    <row r="6" spans="1:14" x14ac:dyDescent="0.2">
      <c r="A6" s="43" t="s">
        <v>12</v>
      </c>
      <c r="B6" s="43" t="s">
        <v>18</v>
      </c>
      <c r="C6" s="43" t="s">
        <v>20</v>
      </c>
    </row>
    <row r="7" spans="1:14" x14ac:dyDescent="0.2">
      <c r="A7" s="43" t="s">
        <v>12</v>
      </c>
      <c r="B7" s="43" t="s">
        <v>15</v>
      </c>
      <c r="C7" s="43" t="s">
        <v>35</v>
      </c>
      <c r="E7" s="43" t="s">
        <v>14</v>
      </c>
    </row>
    <row r="8" spans="1:14" x14ac:dyDescent="0.2">
      <c r="A8" s="43" t="s">
        <v>12</v>
      </c>
      <c r="B8" s="43" t="s">
        <v>16</v>
      </c>
      <c r="C8" s="43" t="s">
        <v>36</v>
      </c>
      <c r="E8" s="43" t="s">
        <v>37</v>
      </c>
    </row>
    <row r="9" spans="1:14" x14ac:dyDescent="0.2">
      <c r="A9" s="43" t="s">
        <v>12</v>
      </c>
    </row>
    <row r="10" spans="1:14" x14ac:dyDescent="0.2">
      <c r="A10" s="43" t="s">
        <v>12</v>
      </c>
      <c r="K10" s="43" t="s">
        <v>23</v>
      </c>
    </row>
    <row r="11" spans="1:14" x14ac:dyDescent="0.2">
      <c r="A11" s="43" t="s">
        <v>12</v>
      </c>
    </row>
    <row r="12" spans="1:14" x14ac:dyDescent="0.2">
      <c r="E12" s="43" t="s">
        <v>32</v>
      </c>
    </row>
    <row r="14" spans="1:14" x14ac:dyDescent="0.2">
      <c r="D14" s="43" t="s">
        <v>0</v>
      </c>
      <c r="E14" s="43" t="s">
        <v>19</v>
      </c>
      <c r="F14" s="43" t="s">
        <v>364</v>
      </c>
      <c r="H14" s="43" t="s">
        <v>365</v>
      </c>
      <c r="J14" s="43" t="s">
        <v>366</v>
      </c>
      <c r="L14" s="43" t="s">
        <v>367</v>
      </c>
      <c r="N14" s="43" t="s">
        <v>367</v>
      </c>
    </row>
    <row r="15" spans="1:14" x14ac:dyDescent="0.2">
      <c r="F15" s="43" t="s">
        <v>161</v>
      </c>
      <c r="L15" s="43" t="s">
        <v>24</v>
      </c>
      <c r="N15" s="43" t="s">
        <v>25</v>
      </c>
    </row>
    <row r="16" spans="1:14" x14ac:dyDescent="0.2">
      <c r="E16" s="43" t="s">
        <v>6</v>
      </c>
    </row>
    <row r="17" spans="3:14" x14ac:dyDescent="0.2">
      <c r="C17" s="43" t="s">
        <v>38</v>
      </c>
      <c r="D17" s="43" t="s">
        <v>39</v>
      </c>
      <c r="E17" s="43" t="s">
        <v>40</v>
      </c>
      <c r="F17" s="43" t="s">
        <v>486</v>
      </c>
      <c r="H17" s="43" t="s">
        <v>487</v>
      </c>
      <c r="J17" s="43" t="s">
        <v>488</v>
      </c>
      <c r="L17" s="43" t="s">
        <v>162</v>
      </c>
      <c r="N17" s="43" t="s">
        <v>163</v>
      </c>
    </row>
    <row r="19" spans="3:14" x14ac:dyDescent="0.2">
      <c r="E19" s="43" t="s">
        <v>7</v>
      </c>
      <c r="F19" s="43" t="s">
        <v>41</v>
      </c>
      <c r="H19" s="43" t="s">
        <v>42</v>
      </c>
      <c r="J19" s="43" t="s">
        <v>43</v>
      </c>
      <c r="L19" s="43" t="s">
        <v>164</v>
      </c>
      <c r="N19" s="43" t="s">
        <v>165</v>
      </c>
    </row>
    <row r="21" spans="3:14" x14ac:dyDescent="0.2">
      <c r="E21" s="43" t="s">
        <v>29</v>
      </c>
    </row>
    <row r="22" spans="3:14" x14ac:dyDescent="0.2">
      <c r="C22" s="43" t="s">
        <v>44</v>
      </c>
      <c r="D22" s="43" t="s">
        <v>45</v>
      </c>
      <c r="E22" s="43" t="s">
        <v>46</v>
      </c>
      <c r="F22" s="43" t="s">
        <v>489</v>
      </c>
      <c r="H22" s="43" t="s">
        <v>490</v>
      </c>
      <c r="J22" s="43" t="s">
        <v>491</v>
      </c>
      <c r="L22" s="43" t="s">
        <v>166</v>
      </c>
      <c r="N22" s="43" t="s">
        <v>167</v>
      </c>
    </row>
    <row r="24" spans="3:14" x14ac:dyDescent="0.2">
      <c r="E24" s="43" t="s">
        <v>159</v>
      </c>
      <c r="F24" s="43" t="s">
        <v>47</v>
      </c>
      <c r="H24" s="43" t="s">
        <v>48</v>
      </c>
      <c r="J24" s="43" t="s">
        <v>49</v>
      </c>
      <c r="L24" s="43" t="s">
        <v>168</v>
      </c>
      <c r="N24" s="43" t="s">
        <v>169</v>
      </c>
    </row>
    <row r="26" spans="3:14" x14ac:dyDescent="0.2">
      <c r="E26" s="43" t="s">
        <v>30</v>
      </c>
    </row>
    <row r="27" spans="3:14" x14ac:dyDescent="0.2">
      <c r="C27" s="43" t="s">
        <v>50</v>
      </c>
      <c r="D27" s="43" t="s">
        <v>65</v>
      </c>
      <c r="E27" s="43" t="s">
        <v>75</v>
      </c>
      <c r="F27" s="43" t="s">
        <v>492</v>
      </c>
      <c r="H27" s="43" t="s">
        <v>493</v>
      </c>
      <c r="J27" s="43" t="s">
        <v>494</v>
      </c>
      <c r="L27" s="43" t="s">
        <v>170</v>
      </c>
      <c r="N27" s="43" t="s">
        <v>171</v>
      </c>
    </row>
    <row r="28" spans="3:14" x14ac:dyDescent="0.2">
      <c r="C28" s="43" t="s">
        <v>51</v>
      </c>
      <c r="D28" s="43" t="s">
        <v>66</v>
      </c>
      <c r="E28" s="43" t="s">
        <v>76</v>
      </c>
      <c r="F28" s="43" t="s">
        <v>495</v>
      </c>
      <c r="H28" s="43" t="s">
        <v>496</v>
      </c>
      <c r="J28" s="43" t="s">
        <v>497</v>
      </c>
      <c r="L28" s="43" t="s">
        <v>172</v>
      </c>
      <c r="N28" s="43" t="s">
        <v>173</v>
      </c>
    </row>
    <row r="30" spans="3:14" x14ac:dyDescent="0.2">
      <c r="E30" s="43" t="s">
        <v>160</v>
      </c>
      <c r="F30" s="43" t="s">
        <v>174</v>
      </c>
      <c r="H30" s="43" t="s">
        <v>175</v>
      </c>
      <c r="J30" s="43" t="s">
        <v>176</v>
      </c>
      <c r="L30" s="43" t="s">
        <v>177</v>
      </c>
      <c r="N30" s="43" t="s">
        <v>178</v>
      </c>
    </row>
    <row r="32" spans="3:14" x14ac:dyDescent="0.2">
      <c r="E32" s="43" t="s">
        <v>8</v>
      </c>
      <c r="F32" s="43" t="s">
        <v>179</v>
      </c>
      <c r="H32" s="43" t="s">
        <v>180</v>
      </c>
      <c r="J32" s="43" t="s">
        <v>181</v>
      </c>
      <c r="L32" s="43" t="s">
        <v>182</v>
      </c>
      <c r="N32" s="43" t="s">
        <v>183</v>
      </c>
    </row>
    <row r="34" spans="4:14" x14ac:dyDescent="0.2">
      <c r="E34" s="43" t="s">
        <v>1</v>
      </c>
      <c r="F34" s="43" t="s">
        <v>184</v>
      </c>
      <c r="H34" s="43" t="s">
        <v>185</v>
      </c>
      <c r="J34" s="43" t="s">
        <v>186</v>
      </c>
      <c r="L34" s="43" t="s">
        <v>187</v>
      </c>
      <c r="N34" s="43" t="s">
        <v>188</v>
      </c>
    </row>
    <row r="37" spans="4:14" x14ac:dyDescent="0.2">
      <c r="D37" s="43" t="s">
        <v>52</v>
      </c>
      <c r="E37" s="43" t="s">
        <v>21</v>
      </c>
      <c r="F37" s="43" t="s">
        <v>498</v>
      </c>
      <c r="H37" s="43" t="s">
        <v>499</v>
      </c>
      <c r="J37" s="43" t="s">
        <v>500</v>
      </c>
    </row>
    <row r="39" spans="4:14" x14ac:dyDescent="0.2">
      <c r="E39" s="43" t="s">
        <v>22</v>
      </c>
      <c r="F39" s="43" t="s">
        <v>53</v>
      </c>
      <c r="H39" s="43" t="s">
        <v>54</v>
      </c>
      <c r="J39" s="4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/>
  </sheetViews>
  <sheetFormatPr defaultRowHeight="12.75" x14ac:dyDescent="0.2"/>
  <sheetData>
    <row r="1" spans="1:14" x14ac:dyDescent="0.2">
      <c r="A1" s="43" t="s">
        <v>307</v>
      </c>
      <c r="B1" s="43" t="s">
        <v>4</v>
      </c>
      <c r="C1" s="43" t="s">
        <v>12</v>
      </c>
      <c r="D1" s="43" t="s">
        <v>17</v>
      </c>
      <c r="F1" s="43" t="s">
        <v>17</v>
      </c>
      <c r="G1" s="43" t="s">
        <v>17</v>
      </c>
      <c r="H1" s="43" t="s">
        <v>17</v>
      </c>
      <c r="I1" s="43" t="s">
        <v>17</v>
      </c>
      <c r="J1" s="43" t="s">
        <v>17</v>
      </c>
      <c r="K1" s="43" t="s">
        <v>17</v>
      </c>
      <c r="L1" s="43" t="s">
        <v>17</v>
      </c>
      <c r="M1" s="43" t="s">
        <v>17</v>
      </c>
      <c r="N1" s="43" t="s">
        <v>17</v>
      </c>
    </row>
    <row r="2" spans="1:14" x14ac:dyDescent="0.2">
      <c r="A2" s="43" t="s">
        <v>12</v>
      </c>
      <c r="B2" s="43" t="s">
        <v>11</v>
      </c>
    </row>
    <row r="3" spans="1:14" x14ac:dyDescent="0.2">
      <c r="A3" s="43" t="s">
        <v>12</v>
      </c>
      <c r="B3" s="43" t="s">
        <v>5</v>
      </c>
      <c r="C3" s="43" t="s">
        <v>26</v>
      </c>
      <c r="F3" s="43" t="s">
        <v>33</v>
      </c>
      <c r="H3" s="43" t="s">
        <v>368</v>
      </c>
      <c r="J3" s="43" t="s">
        <v>335</v>
      </c>
    </row>
    <row r="4" spans="1:14" x14ac:dyDescent="0.2">
      <c r="A4" s="43" t="s">
        <v>12</v>
      </c>
      <c r="B4" s="43" t="s">
        <v>2</v>
      </c>
      <c r="C4" s="43" t="s">
        <v>27</v>
      </c>
      <c r="F4" s="43" t="s">
        <v>34</v>
      </c>
      <c r="H4" s="43" t="s">
        <v>369</v>
      </c>
      <c r="J4" s="43" t="s">
        <v>336</v>
      </c>
    </row>
    <row r="5" spans="1:14" x14ac:dyDescent="0.2">
      <c r="A5" s="43" t="s">
        <v>12</v>
      </c>
      <c r="B5" s="43" t="s">
        <v>3</v>
      </c>
      <c r="C5" s="43" t="s">
        <v>28</v>
      </c>
      <c r="D5" s="43" t="s">
        <v>31</v>
      </c>
    </row>
    <row r="6" spans="1:14" x14ac:dyDescent="0.2">
      <c r="A6" s="43" t="s">
        <v>12</v>
      </c>
      <c r="B6" s="43" t="s">
        <v>18</v>
      </c>
      <c r="C6" s="43" t="s">
        <v>20</v>
      </c>
    </row>
    <row r="7" spans="1:14" x14ac:dyDescent="0.2">
      <c r="A7" s="43" t="s">
        <v>12</v>
      </c>
      <c r="B7" s="43" t="s">
        <v>15</v>
      </c>
      <c r="C7" s="43" t="s">
        <v>35</v>
      </c>
      <c r="E7" s="43" t="s">
        <v>14</v>
      </c>
    </row>
    <row r="8" spans="1:14" x14ac:dyDescent="0.2">
      <c r="A8" s="43" t="s">
        <v>12</v>
      </c>
      <c r="B8" s="43" t="s">
        <v>16</v>
      </c>
      <c r="C8" s="43" t="s">
        <v>36</v>
      </c>
      <c r="E8" s="43" t="s">
        <v>37</v>
      </c>
    </row>
    <row r="9" spans="1:14" x14ac:dyDescent="0.2">
      <c r="A9" s="43" t="s">
        <v>12</v>
      </c>
    </row>
    <row r="10" spans="1:14" x14ac:dyDescent="0.2">
      <c r="A10" s="43" t="s">
        <v>12</v>
      </c>
      <c r="K10" s="43" t="s">
        <v>23</v>
      </c>
    </row>
    <row r="11" spans="1:14" x14ac:dyDescent="0.2">
      <c r="A11" s="43" t="s">
        <v>12</v>
      </c>
    </row>
    <row r="12" spans="1:14" x14ac:dyDescent="0.2">
      <c r="E12" s="43" t="s">
        <v>32</v>
      </c>
    </row>
    <row r="14" spans="1:14" x14ac:dyDescent="0.2">
      <c r="D14" s="43" t="s">
        <v>0</v>
      </c>
      <c r="E14" s="43" t="s">
        <v>19</v>
      </c>
      <c r="F14" s="43" t="s">
        <v>364</v>
      </c>
      <c r="H14" s="43" t="s">
        <v>365</v>
      </c>
      <c r="J14" s="43" t="s">
        <v>366</v>
      </c>
      <c r="L14" s="43" t="s">
        <v>367</v>
      </c>
      <c r="N14" s="43" t="s">
        <v>367</v>
      </c>
    </row>
    <row r="15" spans="1:14" x14ac:dyDescent="0.2">
      <c r="F15" s="43" t="s">
        <v>161</v>
      </c>
      <c r="L15" s="43" t="s">
        <v>24</v>
      </c>
      <c r="N15" s="43" t="s">
        <v>25</v>
      </c>
    </row>
    <row r="16" spans="1:14" x14ac:dyDescent="0.2">
      <c r="E16" s="43" t="s">
        <v>6</v>
      </c>
    </row>
    <row r="17" spans="3:14" x14ac:dyDescent="0.2">
      <c r="C17" s="43" t="s">
        <v>38</v>
      </c>
      <c r="D17" s="43" t="s">
        <v>39</v>
      </c>
      <c r="E17" s="43" t="s">
        <v>40</v>
      </c>
      <c r="F17" s="43" t="s">
        <v>486</v>
      </c>
      <c r="H17" s="43" t="s">
        <v>487</v>
      </c>
      <c r="J17" s="43" t="s">
        <v>488</v>
      </c>
      <c r="L17" s="43" t="s">
        <v>162</v>
      </c>
      <c r="N17" s="43" t="s">
        <v>163</v>
      </c>
    </row>
    <row r="19" spans="3:14" x14ac:dyDescent="0.2">
      <c r="E19" s="43" t="s">
        <v>7</v>
      </c>
      <c r="F19" s="43" t="s">
        <v>41</v>
      </c>
      <c r="H19" s="43" t="s">
        <v>42</v>
      </c>
      <c r="J19" s="43" t="s">
        <v>43</v>
      </c>
      <c r="L19" s="43" t="s">
        <v>164</v>
      </c>
      <c r="N19" s="43" t="s">
        <v>165</v>
      </c>
    </row>
    <row r="21" spans="3:14" x14ac:dyDescent="0.2">
      <c r="E21" s="43" t="s">
        <v>29</v>
      </c>
    </row>
    <row r="22" spans="3:14" x14ac:dyDescent="0.2">
      <c r="C22" s="43" t="s">
        <v>44</v>
      </c>
      <c r="D22" s="43" t="s">
        <v>45</v>
      </c>
      <c r="E22" s="43" t="s">
        <v>46</v>
      </c>
      <c r="F22" s="43" t="s">
        <v>489</v>
      </c>
      <c r="H22" s="43" t="s">
        <v>490</v>
      </c>
      <c r="J22" s="43" t="s">
        <v>491</v>
      </c>
      <c r="L22" s="43" t="s">
        <v>166</v>
      </c>
      <c r="N22" s="43" t="s">
        <v>167</v>
      </c>
    </row>
    <row r="24" spans="3:14" x14ac:dyDescent="0.2">
      <c r="E24" s="43" t="s">
        <v>159</v>
      </c>
      <c r="F24" s="43" t="s">
        <v>47</v>
      </c>
      <c r="H24" s="43" t="s">
        <v>48</v>
      </c>
      <c r="J24" s="43" t="s">
        <v>49</v>
      </c>
      <c r="L24" s="43" t="s">
        <v>168</v>
      </c>
      <c r="N24" s="43" t="s">
        <v>169</v>
      </c>
    </row>
    <row r="26" spans="3:14" x14ac:dyDescent="0.2">
      <c r="E26" s="43" t="s">
        <v>30</v>
      </c>
    </row>
    <row r="27" spans="3:14" x14ac:dyDescent="0.2">
      <c r="C27" s="43" t="s">
        <v>50</v>
      </c>
      <c r="D27" s="43" t="s">
        <v>65</v>
      </c>
      <c r="E27" s="43" t="s">
        <v>75</v>
      </c>
      <c r="F27" s="43" t="s">
        <v>492</v>
      </c>
      <c r="H27" s="43" t="s">
        <v>493</v>
      </c>
      <c r="J27" s="43" t="s">
        <v>494</v>
      </c>
      <c r="L27" s="43" t="s">
        <v>170</v>
      </c>
      <c r="N27" s="43" t="s">
        <v>171</v>
      </c>
    </row>
    <row r="28" spans="3:14" x14ac:dyDescent="0.2">
      <c r="C28" s="43" t="s">
        <v>51</v>
      </c>
      <c r="D28" s="43" t="s">
        <v>66</v>
      </c>
      <c r="E28" s="43" t="s">
        <v>76</v>
      </c>
      <c r="F28" s="43" t="s">
        <v>495</v>
      </c>
      <c r="H28" s="43" t="s">
        <v>496</v>
      </c>
      <c r="J28" s="43" t="s">
        <v>497</v>
      </c>
      <c r="L28" s="43" t="s">
        <v>172</v>
      </c>
      <c r="N28" s="43" t="s">
        <v>173</v>
      </c>
    </row>
    <row r="30" spans="3:14" x14ac:dyDescent="0.2">
      <c r="E30" s="43" t="s">
        <v>160</v>
      </c>
      <c r="F30" s="43" t="s">
        <v>174</v>
      </c>
      <c r="H30" s="43" t="s">
        <v>175</v>
      </c>
      <c r="J30" s="43" t="s">
        <v>176</v>
      </c>
      <c r="L30" s="43" t="s">
        <v>177</v>
      </c>
      <c r="N30" s="43" t="s">
        <v>178</v>
      </c>
    </row>
    <row r="32" spans="3:14" x14ac:dyDescent="0.2">
      <c r="E32" s="43" t="s">
        <v>8</v>
      </c>
      <c r="F32" s="43" t="s">
        <v>179</v>
      </c>
      <c r="H32" s="43" t="s">
        <v>180</v>
      </c>
      <c r="J32" s="43" t="s">
        <v>181</v>
      </c>
      <c r="L32" s="43" t="s">
        <v>182</v>
      </c>
      <c r="N32" s="43" t="s">
        <v>183</v>
      </c>
    </row>
    <row r="34" spans="4:14" x14ac:dyDescent="0.2">
      <c r="E34" s="43" t="s">
        <v>1</v>
      </c>
      <c r="F34" s="43" t="s">
        <v>184</v>
      </c>
      <c r="H34" s="43" t="s">
        <v>185</v>
      </c>
      <c r="J34" s="43" t="s">
        <v>186</v>
      </c>
      <c r="L34" s="43" t="s">
        <v>187</v>
      </c>
      <c r="N34" s="43" t="s">
        <v>188</v>
      </c>
    </row>
    <row r="37" spans="4:14" x14ac:dyDescent="0.2">
      <c r="D37" s="43" t="s">
        <v>52</v>
      </c>
      <c r="E37" s="43" t="s">
        <v>21</v>
      </c>
      <c r="F37" s="43" t="s">
        <v>498</v>
      </c>
      <c r="H37" s="43" t="s">
        <v>499</v>
      </c>
      <c r="J37" s="43" t="s">
        <v>500</v>
      </c>
    </row>
    <row r="39" spans="4:14" x14ac:dyDescent="0.2">
      <c r="E39" s="43" t="s">
        <v>22</v>
      </c>
      <c r="F39" s="43" t="s">
        <v>53</v>
      </c>
      <c r="H39" s="43" t="s">
        <v>54</v>
      </c>
      <c r="J39" s="43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workbookViewId="0"/>
  </sheetViews>
  <sheetFormatPr defaultRowHeight="12.75" x14ac:dyDescent="0.2"/>
  <sheetData>
    <row r="1" spans="1:14" x14ac:dyDescent="0.2">
      <c r="A1" s="43" t="s">
        <v>718</v>
      </c>
      <c r="B1" s="43" t="s">
        <v>4</v>
      </c>
      <c r="C1" s="43" t="s">
        <v>12</v>
      </c>
      <c r="D1" s="43" t="s">
        <v>17</v>
      </c>
      <c r="F1" s="43" t="s">
        <v>17</v>
      </c>
      <c r="G1" s="43" t="s">
        <v>17</v>
      </c>
      <c r="H1" s="43" t="s">
        <v>17</v>
      </c>
      <c r="I1" s="43" t="s">
        <v>17</v>
      </c>
      <c r="J1" s="43" t="s">
        <v>17</v>
      </c>
      <c r="K1" s="43" t="s">
        <v>17</v>
      </c>
      <c r="L1" s="43" t="s">
        <v>17</v>
      </c>
      <c r="M1" s="43" t="s">
        <v>17</v>
      </c>
      <c r="N1" s="43" t="s">
        <v>17</v>
      </c>
    </row>
    <row r="2" spans="1:14" x14ac:dyDescent="0.2">
      <c r="A2" s="43" t="s">
        <v>12</v>
      </c>
      <c r="B2" s="43" t="s">
        <v>11</v>
      </c>
    </row>
    <row r="3" spans="1:14" x14ac:dyDescent="0.2">
      <c r="A3" s="43" t="s">
        <v>12</v>
      </c>
      <c r="B3" s="43" t="s">
        <v>5</v>
      </c>
      <c r="C3" s="43" t="s">
        <v>26</v>
      </c>
      <c r="F3" s="43" t="s">
        <v>33</v>
      </c>
      <c r="H3" s="43" t="s">
        <v>368</v>
      </c>
      <c r="J3" s="43" t="s">
        <v>335</v>
      </c>
    </row>
    <row r="4" spans="1:14" x14ac:dyDescent="0.2">
      <c r="A4" s="43" t="s">
        <v>12</v>
      </c>
      <c r="B4" s="43" t="s">
        <v>2</v>
      </c>
      <c r="C4" s="43" t="s">
        <v>27</v>
      </c>
      <c r="F4" s="43" t="s">
        <v>34</v>
      </c>
      <c r="H4" s="43" t="s">
        <v>369</v>
      </c>
      <c r="J4" s="43" t="s">
        <v>336</v>
      </c>
    </row>
    <row r="5" spans="1:14" x14ac:dyDescent="0.2">
      <c r="A5" s="43" t="s">
        <v>12</v>
      </c>
      <c r="B5" s="43" t="s">
        <v>3</v>
      </c>
      <c r="C5" s="43" t="s">
        <v>28</v>
      </c>
      <c r="D5" s="43" t="s">
        <v>31</v>
      </c>
    </row>
    <row r="6" spans="1:14" x14ac:dyDescent="0.2">
      <c r="A6" s="43" t="s">
        <v>12</v>
      </c>
      <c r="B6" s="43" t="s">
        <v>18</v>
      </c>
      <c r="C6" s="43" t="s">
        <v>20</v>
      </c>
    </row>
    <row r="7" spans="1:14" x14ac:dyDescent="0.2">
      <c r="A7" s="43" t="s">
        <v>12</v>
      </c>
      <c r="B7" s="43" t="s">
        <v>15</v>
      </c>
      <c r="C7" s="43" t="s">
        <v>35</v>
      </c>
      <c r="E7" s="43" t="s">
        <v>14</v>
      </c>
    </row>
    <row r="8" spans="1:14" x14ac:dyDescent="0.2">
      <c r="A8" s="43" t="s">
        <v>12</v>
      </c>
      <c r="B8" s="43" t="s">
        <v>16</v>
      </c>
      <c r="C8" s="43" t="s">
        <v>36</v>
      </c>
      <c r="E8" s="43" t="s">
        <v>37</v>
      </c>
    </row>
    <row r="9" spans="1:14" x14ac:dyDescent="0.2">
      <c r="A9" s="43" t="s">
        <v>12</v>
      </c>
    </row>
    <row r="10" spans="1:14" x14ac:dyDescent="0.2">
      <c r="A10" s="43" t="s">
        <v>12</v>
      </c>
      <c r="K10" s="43" t="s">
        <v>23</v>
      </c>
    </row>
    <row r="11" spans="1:14" x14ac:dyDescent="0.2">
      <c r="A11" s="43" t="s">
        <v>12</v>
      </c>
    </row>
    <row r="12" spans="1:14" x14ac:dyDescent="0.2">
      <c r="E12" s="43" t="s">
        <v>32</v>
      </c>
    </row>
    <row r="14" spans="1:14" x14ac:dyDescent="0.2">
      <c r="D14" s="43" t="s">
        <v>0</v>
      </c>
      <c r="E14" s="43" t="s">
        <v>19</v>
      </c>
      <c r="F14" s="43" t="s">
        <v>364</v>
      </c>
      <c r="H14" s="43" t="s">
        <v>365</v>
      </c>
      <c r="J14" s="43" t="s">
        <v>366</v>
      </c>
      <c r="L14" s="43" t="s">
        <v>367</v>
      </c>
      <c r="N14" s="43" t="s">
        <v>367</v>
      </c>
    </row>
    <row r="15" spans="1:14" x14ac:dyDescent="0.2">
      <c r="F15" s="43" t="s">
        <v>161</v>
      </c>
      <c r="L15" s="43" t="s">
        <v>24</v>
      </c>
      <c r="N15" s="43" t="s">
        <v>25</v>
      </c>
    </row>
    <row r="16" spans="1:14" x14ac:dyDescent="0.2">
      <c r="E16" s="43" t="s">
        <v>6</v>
      </c>
    </row>
    <row r="17" spans="1:14" x14ac:dyDescent="0.2">
      <c r="C17" s="43" t="s">
        <v>38</v>
      </c>
      <c r="D17" s="43" t="s">
        <v>39</v>
      </c>
      <c r="E17" s="43" t="s">
        <v>40</v>
      </c>
      <c r="F17" s="43" t="s">
        <v>486</v>
      </c>
      <c r="H17" s="43" t="s">
        <v>487</v>
      </c>
      <c r="J17" s="43" t="s">
        <v>488</v>
      </c>
      <c r="L17" s="43" t="s">
        <v>162</v>
      </c>
      <c r="N17" s="43" t="s">
        <v>163</v>
      </c>
    </row>
    <row r="18" spans="1:14" x14ac:dyDescent="0.2">
      <c r="A18" s="43" t="s">
        <v>56</v>
      </c>
      <c r="C18" s="43" t="s">
        <v>370</v>
      </c>
      <c r="D18" s="43" t="s">
        <v>57</v>
      </c>
      <c r="E18" s="43" t="s">
        <v>67</v>
      </c>
      <c r="F18" s="43" t="s">
        <v>501</v>
      </c>
      <c r="H18" s="43" t="s">
        <v>502</v>
      </c>
      <c r="J18" s="43" t="s">
        <v>503</v>
      </c>
      <c r="L18" s="43" t="s">
        <v>189</v>
      </c>
      <c r="N18" s="43" t="s">
        <v>190</v>
      </c>
    </row>
    <row r="19" spans="1:14" x14ac:dyDescent="0.2">
      <c r="A19" s="43" t="s">
        <v>56</v>
      </c>
      <c r="C19" s="43" t="s">
        <v>371</v>
      </c>
      <c r="D19" s="43" t="s">
        <v>58</v>
      </c>
      <c r="E19" s="43" t="s">
        <v>68</v>
      </c>
      <c r="F19" s="43" t="s">
        <v>504</v>
      </c>
      <c r="H19" s="43" t="s">
        <v>505</v>
      </c>
      <c r="J19" s="43" t="s">
        <v>506</v>
      </c>
      <c r="L19" s="43" t="s">
        <v>164</v>
      </c>
      <c r="N19" s="43" t="s">
        <v>165</v>
      </c>
    </row>
    <row r="20" spans="1:14" x14ac:dyDescent="0.2">
      <c r="A20" s="43" t="s">
        <v>56</v>
      </c>
      <c r="C20" s="43" t="s">
        <v>372</v>
      </c>
      <c r="D20" s="43" t="s">
        <v>59</v>
      </c>
      <c r="E20" s="43" t="s">
        <v>69</v>
      </c>
      <c r="F20" s="43" t="s">
        <v>507</v>
      </c>
      <c r="H20" s="43" t="s">
        <v>508</v>
      </c>
      <c r="J20" s="43" t="s">
        <v>509</v>
      </c>
      <c r="L20" s="43" t="s">
        <v>191</v>
      </c>
      <c r="N20" s="43" t="s">
        <v>192</v>
      </c>
    </row>
    <row r="21" spans="1:14" x14ac:dyDescent="0.2">
      <c r="A21" s="43" t="s">
        <v>56</v>
      </c>
      <c r="C21" s="43" t="s">
        <v>373</v>
      </c>
      <c r="D21" s="43" t="s">
        <v>60</v>
      </c>
      <c r="E21" s="43" t="s">
        <v>70</v>
      </c>
      <c r="F21" s="43" t="s">
        <v>510</v>
      </c>
      <c r="H21" s="43" t="s">
        <v>511</v>
      </c>
      <c r="J21" s="43" t="s">
        <v>512</v>
      </c>
      <c r="L21" s="43" t="s">
        <v>193</v>
      </c>
      <c r="N21" s="43" t="s">
        <v>194</v>
      </c>
    </row>
    <row r="22" spans="1:14" x14ac:dyDescent="0.2">
      <c r="A22" s="43" t="s">
        <v>56</v>
      </c>
      <c r="C22" s="43" t="s">
        <v>374</v>
      </c>
      <c r="D22" s="43" t="s">
        <v>45</v>
      </c>
      <c r="E22" s="43" t="s">
        <v>46</v>
      </c>
      <c r="F22" s="43" t="s">
        <v>489</v>
      </c>
      <c r="H22" s="43" t="s">
        <v>490</v>
      </c>
      <c r="J22" s="43" t="s">
        <v>491</v>
      </c>
      <c r="L22" s="43" t="s">
        <v>166</v>
      </c>
      <c r="N22" s="43" t="s">
        <v>195</v>
      </c>
    </row>
    <row r="23" spans="1:14" x14ac:dyDescent="0.2">
      <c r="A23" s="43" t="s">
        <v>56</v>
      </c>
      <c r="C23" s="43" t="s">
        <v>375</v>
      </c>
      <c r="D23" s="43" t="s">
        <v>61</v>
      </c>
      <c r="E23" s="43" t="s">
        <v>71</v>
      </c>
      <c r="F23" s="43" t="s">
        <v>513</v>
      </c>
      <c r="H23" s="43" t="s">
        <v>514</v>
      </c>
      <c r="J23" s="43" t="s">
        <v>515</v>
      </c>
      <c r="L23" s="43" t="s">
        <v>196</v>
      </c>
      <c r="N23" s="43" t="s">
        <v>197</v>
      </c>
    </row>
    <row r="24" spans="1:14" x14ac:dyDescent="0.2">
      <c r="A24" s="43" t="s">
        <v>56</v>
      </c>
      <c r="C24" s="43" t="s">
        <v>376</v>
      </c>
      <c r="D24" s="43" t="s">
        <v>62</v>
      </c>
      <c r="E24" s="43" t="s">
        <v>72</v>
      </c>
      <c r="F24" s="43" t="s">
        <v>516</v>
      </c>
      <c r="H24" s="43" t="s">
        <v>517</v>
      </c>
      <c r="J24" s="43" t="s">
        <v>518</v>
      </c>
      <c r="L24" s="43" t="s">
        <v>168</v>
      </c>
      <c r="N24" s="43" t="s">
        <v>198</v>
      </c>
    </row>
    <row r="25" spans="1:14" x14ac:dyDescent="0.2">
      <c r="A25" s="43" t="s">
        <v>56</v>
      </c>
      <c r="C25" s="43" t="s">
        <v>377</v>
      </c>
      <c r="D25" s="43" t="s">
        <v>63</v>
      </c>
      <c r="E25" s="43" t="s">
        <v>73</v>
      </c>
      <c r="F25" s="43" t="s">
        <v>519</v>
      </c>
      <c r="H25" s="43" t="s">
        <v>520</v>
      </c>
      <c r="J25" s="43" t="s">
        <v>521</v>
      </c>
      <c r="L25" s="43" t="s">
        <v>199</v>
      </c>
      <c r="N25" s="43" t="s">
        <v>200</v>
      </c>
    </row>
    <row r="26" spans="1:14" x14ac:dyDescent="0.2">
      <c r="A26" s="43" t="s">
        <v>56</v>
      </c>
      <c r="C26" s="43" t="s">
        <v>378</v>
      </c>
      <c r="D26" s="43" t="s">
        <v>64</v>
      </c>
      <c r="E26" s="43" t="s">
        <v>74</v>
      </c>
      <c r="F26" s="43" t="s">
        <v>522</v>
      </c>
      <c r="H26" s="43" t="s">
        <v>523</v>
      </c>
      <c r="J26" s="43" t="s">
        <v>524</v>
      </c>
      <c r="L26" s="43" t="s">
        <v>201</v>
      </c>
      <c r="N26" s="43" t="s">
        <v>202</v>
      </c>
    </row>
    <row r="27" spans="1:14" x14ac:dyDescent="0.2">
      <c r="A27" s="43" t="s">
        <v>56</v>
      </c>
      <c r="C27" s="43" t="s">
        <v>379</v>
      </c>
      <c r="D27" s="43" t="s">
        <v>65</v>
      </c>
      <c r="E27" s="43" t="s">
        <v>75</v>
      </c>
      <c r="F27" s="43" t="s">
        <v>492</v>
      </c>
      <c r="H27" s="43" t="s">
        <v>493</v>
      </c>
      <c r="J27" s="43" t="s">
        <v>494</v>
      </c>
      <c r="L27" s="43" t="s">
        <v>170</v>
      </c>
      <c r="N27" s="43" t="s">
        <v>203</v>
      </c>
    </row>
    <row r="28" spans="1:14" x14ac:dyDescent="0.2">
      <c r="A28" s="43" t="s">
        <v>56</v>
      </c>
      <c r="C28" s="43" t="s">
        <v>380</v>
      </c>
      <c r="D28" s="43" t="s">
        <v>66</v>
      </c>
      <c r="E28" s="43" t="s">
        <v>76</v>
      </c>
      <c r="F28" s="43" t="s">
        <v>495</v>
      </c>
      <c r="H28" s="43" t="s">
        <v>496</v>
      </c>
      <c r="J28" s="43" t="s">
        <v>497</v>
      </c>
      <c r="L28" s="43" t="s">
        <v>172</v>
      </c>
      <c r="N28" s="43" t="s">
        <v>204</v>
      </c>
    </row>
    <row r="29" spans="1:14" x14ac:dyDescent="0.2">
      <c r="A29" s="43" t="s">
        <v>56</v>
      </c>
      <c r="C29" s="43" t="s">
        <v>381</v>
      </c>
      <c r="D29" s="43" t="s">
        <v>299</v>
      </c>
      <c r="E29" s="43" t="s">
        <v>300</v>
      </c>
      <c r="F29" s="43" t="s">
        <v>525</v>
      </c>
      <c r="H29" s="43" t="s">
        <v>526</v>
      </c>
      <c r="J29" s="43" t="s">
        <v>527</v>
      </c>
      <c r="L29" s="43" t="s">
        <v>290</v>
      </c>
      <c r="N29" s="43" t="s">
        <v>291</v>
      </c>
    </row>
    <row r="30" spans="1:14" x14ac:dyDescent="0.2">
      <c r="A30" s="43" t="s">
        <v>56</v>
      </c>
      <c r="C30" s="43" t="s">
        <v>443</v>
      </c>
      <c r="D30" s="43" t="s">
        <v>313</v>
      </c>
      <c r="E30" s="43" t="s">
        <v>314</v>
      </c>
      <c r="F30" s="43" t="s">
        <v>528</v>
      </c>
      <c r="H30" s="43" t="s">
        <v>529</v>
      </c>
      <c r="J30" s="43" t="s">
        <v>530</v>
      </c>
      <c r="L30" s="43" t="s">
        <v>177</v>
      </c>
      <c r="N30" s="43" t="s">
        <v>308</v>
      </c>
    </row>
    <row r="31" spans="1:14" x14ac:dyDescent="0.2">
      <c r="A31" s="43" t="s">
        <v>56</v>
      </c>
      <c r="C31" s="43" t="s">
        <v>382</v>
      </c>
      <c r="D31" s="43" t="s">
        <v>329</v>
      </c>
      <c r="E31" s="43" t="s">
        <v>330</v>
      </c>
      <c r="F31" s="43" t="s">
        <v>531</v>
      </c>
      <c r="H31" s="43" t="s">
        <v>532</v>
      </c>
      <c r="J31" s="43" t="s">
        <v>533</v>
      </c>
      <c r="L31" s="43" t="s">
        <v>323</v>
      </c>
      <c r="N31" s="43" t="s">
        <v>324</v>
      </c>
    </row>
    <row r="32" spans="1:14" x14ac:dyDescent="0.2">
      <c r="A32" s="43" t="s">
        <v>56</v>
      </c>
      <c r="C32" s="43" t="s">
        <v>383</v>
      </c>
      <c r="D32" s="43" t="s">
        <v>341</v>
      </c>
      <c r="E32" s="43" t="s">
        <v>342</v>
      </c>
      <c r="F32" s="43" t="s">
        <v>534</v>
      </c>
      <c r="H32" s="43" t="s">
        <v>535</v>
      </c>
      <c r="J32" s="43" t="s">
        <v>536</v>
      </c>
      <c r="L32" s="43" t="s">
        <v>182</v>
      </c>
      <c r="N32" s="43" t="s">
        <v>183</v>
      </c>
    </row>
    <row r="33" spans="1:14" x14ac:dyDescent="0.2">
      <c r="A33" s="43" t="s">
        <v>56</v>
      </c>
      <c r="C33" s="43" t="s">
        <v>384</v>
      </c>
      <c r="D33" s="43" t="s">
        <v>476</v>
      </c>
      <c r="E33" s="43" t="s">
        <v>477</v>
      </c>
      <c r="F33" s="43" t="s">
        <v>537</v>
      </c>
      <c r="H33" s="43" t="s">
        <v>538</v>
      </c>
      <c r="J33" s="43" t="s">
        <v>539</v>
      </c>
      <c r="L33" s="43" t="s">
        <v>444</v>
      </c>
      <c r="N33" s="43" t="s">
        <v>445</v>
      </c>
    </row>
    <row r="35" spans="1:14" x14ac:dyDescent="0.2">
      <c r="E35" s="43" t="s">
        <v>7</v>
      </c>
      <c r="F35" s="43" t="s">
        <v>446</v>
      </c>
      <c r="H35" s="43" t="s">
        <v>447</v>
      </c>
      <c r="J35" s="43" t="s">
        <v>448</v>
      </c>
      <c r="L35" s="43" t="s">
        <v>449</v>
      </c>
      <c r="N35" s="43" t="s">
        <v>450</v>
      </c>
    </row>
    <row r="37" spans="1:14" x14ac:dyDescent="0.2">
      <c r="E37" s="43" t="s">
        <v>29</v>
      </c>
    </row>
    <row r="38" spans="1:14" x14ac:dyDescent="0.2">
      <c r="C38" s="43" t="s">
        <v>44</v>
      </c>
      <c r="D38" s="43" t="s">
        <v>77</v>
      </c>
      <c r="E38" s="43" t="s">
        <v>88</v>
      </c>
      <c r="F38" s="43" t="s">
        <v>540</v>
      </c>
      <c r="H38" s="43" t="s">
        <v>541</v>
      </c>
      <c r="J38" s="43" t="s">
        <v>542</v>
      </c>
      <c r="L38" s="43" t="s">
        <v>205</v>
      </c>
      <c r="N38" s="43" t="s">
        <v>206</v>
      </c>
    </row>
    <row r="39" spans="1:14" x14ac:dyDescent="0.2">
      <c r="A39" s="43" t="s">
        <v>56</v>
      </c>
      <c r="C39" s="43" t="s">
        <v>385</v>
      </c>
      <c r="D39" s="43" t="s">
        <v>78</v>
      </c>
      <c r="E39" s="43" t="s">
        <v>89</v>
      </c>
      <c r="F39" s="43" t="s">
        <v>543</v>
      </c>
      <c r="H39" s="43" t="s">
        <v>544</v>
      </c>
      <c r="J39" s="43" t="s">
        <v>545</v>
      </c>
      <c r="L39" s="43" t="s">
        <v>207</v>
      </c>
      <c r="N39" s="43" t="s">
        <v>208</v>
      </c>
    </row>
    <row r="40" spans="1:14" x14ac:dyDescent="0.2">
      <c r="A40" s="43" t="s">
        <v>56</v>
      </c>
      <c r="C40" s="43" t="s">
        <v>386</v>
      </c>
      <c r="D40" s="43" t="s">
        <v>79</v>
      </c>
      <c r="E40" s="43" t="s">
        <v>90</v>
      </c>
      <c r="F40" s="43" t="s">
        <v>546</v>
      </c>
      <c r="H40" s="43" t="s">
        <v>547</v>
      </c>
      <c r="J40" s="43" t="s">
        <v>548</v>
      </c>
      <c r="L40" s="43" t="s">
        <v>209</v>
      </c>
      <c r="N40" s="43" t="s">
        <v>210</v>
      </c>
    </row>
    <row r="41" spans="1:14" x14ac:dyDescent="0.2">
      <c r="A41" s="43" t="s">
        <v>56</v>
      </c>
      <c r="C41" s="43" t="s">
        <v>387</v>
      </c>
      <c r="D41" s="43" t="s">
        <v>80</v>
      </c>
      <c r="E41" s="43" t="s">
        <v>91</v>
      </c>
      <c r="F41" s="43" t="s">
        <v>549</v>
      </c>
      <c r="H41" s="43" t="s">
        <v>550</v>
      </c>
      <c r="J41" s="43" t="s">
        <v>551</v>
      </c>
      <c r="L41" s="43" t="s">
        <v>211</v>
      </c>
      <c r="N41" s="43" t="s">
        <v>212</v>
      </c>
    </row>
    <row r="42" spans="1:14" x14ac:dyDescent="0.2">
      <c r="A42" s="43" t="s">
        <v>56</v>
      </c>
      <c r="C42" s="43" t="s">
        <v>388</v>
      </c>
      <c r="D42" s="43" t="s">
        <v>81</v>
      </c>
      <c r="E42" s="43" t="s">
        <v>92</v>
      </c>
      <c r="F42" s="43" t="s">
        <v>552</v>
      </c>
      <c r="H42" s="43" t="s">
        <v>553</v>
      </c>
      <c r="J42" s="43" t="s">
        <v>554</v>
      </c>
      <c r="L42" s="43" t="s">
        <v>213</v>
      </c>
      <c r="N42" s="43" t="s">
        <v>214</v>
      </c>
    </row>
    <row r="43" spans="1:14" x14ac:dyDescent="0.2">
      <c r="A43" s="43" t="s">
        <v>56</v>
      </c>
      <c r="C43" s="43" t="s">
        <v>389</v>
      </c>
      <c r="D43" s="43" t="s">
        <v>82</v>
      </c>
      <c r="E43" s="43" t="s">
        <v>93</v>
      </c>
      <c r="F43" s="43" t="s">
        <v>555</v>
      </c>
      <c r="H43" s="43" t="s">
        <v>556</v>
      </c>
      <c r="J43" s="43" t="s">
        <v>557</v>
      </c>
      <c r="L43" s="43" t="s">
        <v>215</v>
      </c>
      <c r="N43" s="43" t="s">
        <v>216</v>
      </c>
    </row>
    <row r="44" spans="1:14" x14ac:dyDescent="0.2">
      <c r="A44" s="43" t="s">
        <v>56</v>
      </c>
      <c r="C44" s="43" t="s">
        <v>390</v>
      </c>
      <c r="D44" s="43" t="s">
        <v>83</v>
      </c>
      <c r="E44" s="43" t="s">
        <v>94</v>
      </c>
      <c r="F44" s="43" t="s">
        <v>558</v>
      </c>
      <c r="H44" s="43" t="s">
        <v>559</v>
      </c>
      <c r="J44" s="43" t="s">
        <v>560</v>
      </c>
      <c r="L44" s="43" t="s">
        <v>217</v>
      </c>
      <c r="N44" s="43" t="s">
        <v>218</v>
      </c>
    </row>
    <row r="45" spans="1:14" x14ac:dyDescent="0.2">
      <c r="A45" s="43" t="s">
        <v>56</v>
      </c>
      <c r="C45" s="43" t="s">
        <v>391</v>
      </c>
      <c r="D45" s="43" t="s">
        <v>84</v>
      </c>
      <c r="E45" s="43" t="s">
        <v>95</v>
      </c>
      <c r="F45" s="43" t="s">
        <v>561</v>
      </c>
      <c r="H45" s="43" t="s">
        <v>562</v>
      </c>
      <c r="J45" s="43" t="s">
        <v>563</v>
      </c>
      <c r="L45" s="43" t="s">
        <v>219</v>
      </c>
      <c r="N45" s="43" t="s">
        <v>220</v>
      </c>
    </row>
    <row r="46" spans="1:14" x14ac:dyDescent="0.2">
      <c r="A46" s="43" t="s">
        <v>56</v>
      </c>
      <c r="C46" s="43" t="s">
        <v>392</v>
      </c>
      <c r="D46" s="43" t="s">
        <v>85</v>
      </c>
      <c r="E46" s="43" t="s">
        <v>96</v>
      </c>
      <c r="F46" s="43" t="s">
        <v>564</v>
      </c>
      <c r="H46" s="43" t="s">
        <v>565</v>
      </c>
      <c r="J46" s="43" t="s">
        <v>566</v>
      </c>
      <c r="L46" s="43" t="s">
        <v>221</v>
      </c>
      <c r="N46" s="43" t="s">
        <v>222</v>
      </c>
    </row>
    <row r="47" spans="1:14" x14ac:dyDescent="0.2">
      <c r="A47" s="43" t="s">
        <v>56</v>
      </c>
      <c r="C47" s="43" t="s">
        <v>393</v>
      </c>
      <c r="D47" s="43" t="s">
        <v>86</v>
      </c>
      <c r="E47" s="43" t="s">
        <v>97</v>
      </c>
      <c r="F47" s="43" t="s">
        <v>567</v>
      </c>
      <c r="H47" s="43" t="s">
        <v>568</v>
      </c>
      <c r="J47" s="43" t="s">
        <v>569</v>
      </c>
      <c r="L47" s="43" t="s">
        <v>223</v>
      </c>
      <c r="N47" s="43" t="s">
        <v>224</v>
      </c>
    </row>
    <row r="48" spans="1:14" x14ac:dyDescent="0.2">
      <c r="A48" s="43" t="s">
        <v>56</v>
      </c>
      <c r="C48" s="43" t="s">
        <v>394</v>
      </c>
      <c r="D48" s="43" t="s">
        <v>87</v>
      </c>
      <c r="E48" s="43" t="s">
        <v>98</v>
      </c>
      <c r="F48" s="43" t="s">
        <v>570</v>
      </c>
      <c r="H48" s="43" t="s">
        <v>571</v>
      </c>
      <c r="J48" s="43" t="s">
        <v>572</v>
      </c>
      <c r="L48" s="43" t="s">
        <v>225</v>
      </c>
      <c r="N48" s="43" t="s">
        <v>226</v>
      </c>
    </row>
    <row r="49" spans="1:14" x14ac:dyDescent="0.2">
      <c r="A49" s="43" t="s">
        <v>56</v>
      </c>
      <c r="C49" s="43" t="s">
        <v>395</v>
      </c>
      <c r="D49" s="43" t="s">
        <v>301</v>
      </c>
      <c r="E49" s="43" t="s">
        <v>302</v>
      </c>
      <c r="F49" s="43" t="s">
        <v>573</v>
      </c>
      <c r="H49" s="43" t="s">
        <v>574</v>
      </c>
      <c r="J49" s="43" t="s">
        <v>575</v>
      </c>
      <c r="L49" s="43" t="s">
        <v>292</v>
      </c>
      <c r="N49" s="43" t="s">
        <v>293</v>
      </c>
    </row>
    <row r="50" spans="1:14" x14ac:dyDescent="0.2">
      <c r="A50" s="43" t="s">
        <v>56</v>
      </c>
      <c r="C50" s="43" t="s">
        <v>396</v>
      </c>
      <c r="D50" s="43" t="s">
        <v>315</v>
      </c>
      <c r="E50" s="43" t="s">
        <v>317</v>
      </c>
      <c r="F50" s="43" t="s">
        <v>576</v>
      </c>
      <c r="H50" s="43" t="s">
        <v>577</v>
      </c>
      <c r="J50" s="43" t="s">
        <v>578</v>
      </c>
      <c r="L50" s="43" t="s">
        <v>309</v>
      </c>
      <c r="N50" s="43" t="s">
        <v>310</v>
      </c>
    </row>
    <row r="51" spans="1:14" x14ac:dyDescent="0.2">
      <c r="A51" s="43" t="s">
        <v>56</v>
      </c>
      <c r="C51" s="43" t="s">
        <v>397</v>
      </c>
      <c r="D51" s="43" t="s">
        <v>316</v>
      </c>
      <c r="E51" s="43" t="s">
        <v>318</v>
      </c>
      <c r="F51" s="43" t="s">
        <v>579</v>
      </c>
      <c r="H51" s="43" t="s">
        <v>580</v>
      </c>
      <c r="J51" s="43" t="s">
        <v>581</v>
      </c>
      <c r="L51" s="43" t="s">
        <v>294</v>
      </c>
      <c r="N51" s="43" t="s">
        <v>295</v>
      </c>
    </row>
    <row r="52" spans="1:14" x14ac:dyDescent="0.2">
      <c r="A52" s="43" t="s">
        <v>56</v>
      </c>
      <c r="C52" s="43" t="s">
        <v>398</v>
      </c>
      <c r="D52" s="43" t="s">
        <v>331</v>
      </c>
      <c r="E52" s="43" t="s">
        <v>332</v>
      </c>
      <c r="F52" s="43" t="s">
        <v>582</v>
      </c>
      <c r="H52" s="43" t="s">
        <v>583</v>
      </c>
      <c r="J52" s="43" t="s">
        <v>584</v>
      </c>
      <c r="L52" s="43" t="s">
        <v>325</v>
      </c>
      <c r="N52" s="43" t="s">
        <v>326</v>
      </c>
    </row>
    <row r="53" spans="1:14" x14ac:dyDescent="0.2">
      <c r="A53" s="43" t="s">
        <v>56</v>
      </c>
      <c r="C53" s="43" t="s">
        <v>399</v>
      </c>
      <c r="D53" s="43" t="s">
        <v>343</v>
      </c>
      <c r="E53" s="43" t="s">
        <v>344</v>
      </c>
      <c r="F53" s="43" t="s">
        <v>585</v>
      </c>
      <c r="H53" s="43" t="s">
        <v>586</v>
      </c>
      <c r="J53" s="43" t="s">
        <v>587</v>
      </c>
      <c r="L53" s="43" t="s">
        <v>337</v>
      </c>
      <c r="N53" s="43" t="s">
        <v>338</v>
      </c>
    </row>
    <row r="54" spans="1:14" x14ac:dyDescent="0.2">
      <c r="A54" s="43" t="s">
        <v>56</v>
      </c>
      <c r="C54" s="43" t="s">
        <v>400</v>
      </c>
      <c r="D54" s="43" t="s">
        <v>358</v>
      </c>
      <c r="E54" s="43" t="s">
        <v>359</v>
      </c>
      <c r="F54" s="43" t="s">
        <v>588</v>
      </c>
      <c r="H54" s="43" t="s">
        <v>589</v>
      </c>
      <c r="J54" s="43" t="s">
        <v>590</v>
      </c>
      <c r="L54" s="43" t="s">
        <v>347</v>
      </c>
      <c r="N54" s="43" t="s">
        <v>348</v>
      </c>
    </row>
    <row r="55" spans="1:14" x14ac:dyDescent="0.2">
      <c r="A55" s="43" t="s">
        <v>56</v>
      </c>
      <c r="C55" s="43" t="s">
        <v>401</v>
      </c>
      <c r="D55" s="43" t="s">
        <v>478</v>
      </c>
      <c r="E55" s="43" t="s">
        <v>480</v>
      </c>
      <c r="F55" s="43" t="s">
        <v>591</v>
      </c>
      <c r="H55" s="43" t="s">
        <v>592</v>
      </c>
      <c r="J55" s="43" t="s">
        <v>593</v>
      </c>
      <c r="L55" s="43" t="s">
        <v>451</v>
      </c>
      <c r="N55" s="43" t="s">
        <v>452</v>
      </c>
    </row>
    <row r="56" spans="1:14" x14ac:dyDescent="0.2">
      <c r="A56" s="43" t="s">
        <v>56</v>
      </c>
      <c r="C56" s="43" t="s">
        <v>453</v>
      </c>
      <c r="D56" s="43" t="s">
        <v>479</v>
      </c>
      <c r="E56" s="43" t="s">
        <v>481</v>
      </c>
      <c r="F56" s="43" t="s">
        <v>594</v>
      </c>
      <c r="H56" s="43" t="s">
        <v>595</v>
      </c>
      <c r="J56" s="43" t="s">
        <v>596</v>
      </c>
      <c r="L56" s="43" t="s">
        <v>349</v>
      </c>
      <c r="N56" s="43" t="s">
        <v>350</v>
      </c>
    </row>
    <row r="58" spans="1:14" x14ac:dyDescent="0.2">
      <c r="E58" s="43" t="s">
        <v>159</v>
      </c>
      <c r="F58" s="43" t="s">
        <v>454</v>
      </c>
      <c r="H58" s="43" t="s">
        <v>455</v>
      </c>
      <c r="J58" s="43" t="s">
        <v>456</v>
      </c>
      <c r="L58" s="43" t="s">
        <v>457</v>
      </c>
      <c r="N58" s="43" t="s">
        <v>458</v>
      </c>
    </row>
    <row r="60" spans="1:14" x14ac:dyDescent="0.2">
      <c r="E60" s="43" t="s">
        <v>30</v>
      </c>
    </row>
    <row r="61" spans="1:14" x14ac:dyDescent="0.2">
      <c r="C61" s="43" t="s">
        <v>50</v>
      </c>
      <c r="D61" s="43" t="s">
        <v>99</v>
      </c>
      <c r="E61" s="43" t="s">
        <v>124</v>
      </c>
      <c r="F61" s="43" t="s">
        <v>597</v>
      </c>
      <c r="H61" s="43" t="s">
        <v>598</v>
      </c>
      <c r="J61" s="43" t="s">
        <v>599</v>
      </c>
      <c r="L61" s="43" t="s">
        <v>227</v>
      </c>
      <c r="N61" s="43" t="s">
        <v>228</v>
      </c>
    </row>
    <row r="62" spans="1:14" x14ac:dyDescent="0.2">
      <c r="A62" s="43" t="s">
        <v>56</v>
      </c>
      <c r="C62" s="43" t="s">
        <v>402</v>
      </c>
      <c r="D62" s="43" t="s">
        <v>100</v>
      </c>
      <c r="E62" s="43" t="s">
        <v>125</v>
      </c>
      <c r="F62" s="43" t="s">
        <v>600</v>
      </c>
      <c r="H62" s="43" t="s">
        <v>601</v>
      </c>
      <c r="J62" s="43" t="s">
        <v>602</v>
      </c>
      <c r="L62" s="43" t="s">
        <v>229</v>
      </c>
      <c r="N62" s="43" t="s">
        <v>230</v>
      </c>
    </row>
    <row r="63" spans="1:14" x14ac:dyDescent="0.2">
      <c r="A63" s="43" t="s">
        <v>56</v>
      </c>
      <c r="C63" s="43" t="s">
        <v>403</v>
      </c>
      <c r="D63" s="43" t="s">
        <v>101</v>
      </c>
      <c r="E63" s="43" t="s">
        <v>126</v>
      </c>
      <c r="F63" s="43" t="s">
        <v>603</v>
      </c>
      <c r="H63" s="43" t="s">
        <v>604</v>
      </c>
      <c r="J63" s="43" t="s">
        <v>605</v>
      </c>
      <c r="L63" s="43" t="s">
        <v>231</v>
      </c>
      <c r="N63" s="43" t="s">
        <v>232</v>
      </c>
    </row>
    <row r="64" spans="1:14" x14ac:dyDescent="0.2">
      <c r="A64" s="43" t="s">
        <v>56</v>
      </c>
      <c r="C64" s="43" t="s">
        <v>404</v>
      </c>
      <c r="D64" s="43" t="s">
        <v>102</v>
      </c>
      <c r="E64" s="43" t="s">
        <v>127</v>
      </c>
      <c r="F64" s="43" t="s">
        <v>606</v>
      </c>
      <c r="H64" s="43" t="s">
        <v>607</v>
      </c>
      <c r="J64" s="43" t="s">
        <v>608</v>
      </c>
      <c r="L64" s="43" t="s">
        <v>233</v>
      </c>
      <c r="N64" s="43" t="s">
        <v>234</v>
      </c>
    </row>
    <row r="65" spans="1:14" x14ac:dyDescent="0.2">
      <c r="A65" s="43" t="s">
        <v>56</v>
      </c>
      <c r="C65" s="43" t="s">
        <v>405</v>
      </c>
      <c r="D65" s="43" t="s">
        <v>103</v>
      </c>
      <c r="E65" s="43" t="s">
        <v>128</v>
      </c>
      <c r="F65" s="43" t="s">
        <v>609</v>
      </c>
      <c r="H65" s="43" t="s">
        <v>610</v>
      </c>
      <c r="J65" s="43" t="s">
        <v>611</v>
      </c>
      <c r="L65" s="43" t="s">
        <v>235</v>
      </c>
      <c r="N65" s="43" t="s">
        <v>236</v>
      </c>
    </row>
    <row r="66" spans="1:14" x14ac:dyDescent="0.2">
      <c r="A66" s="43" t="s">
        <v>56</v>
      </c>
      <c r="C66" s="43" t="s">
        <v>406</v>
      </c>
      <c r="D66" s="43" t="s">
        <v>104</v>
      </c>
      <c r="E66" s="43" t="s">
        <v>129</v>
      </c>
      <c r="F66" s="43" t="s">
        <v>612</v>
      </c>
      <c r="H66" s="43" t="s">
        <v>613</v>
      </c>
      <c r="J66" s="43" t="s">
        <v>614</v>
      </c>
      <c r="L66" s="43" t="s">
        <v>237</v>
      </c>
      <c r="N66" s="43" t="s">
        <v>238</v>
      </c>
    </row>
    <row r="67" spans="1:14" x14ac:dyDescent="0.2">
      <c r="A67" s="43" t="s">
        <v>56</v>
      </c>
      <c r="C67" s="43" t="s">
        <v>407</v>
      </c>
      <c r="D67" s="43" t="s">
        <v>105</v>
      </c>
      <c r="E67" s="43" t="s">
        <v>130</v>
      </c>
      <c r="F67" s="43" t="s">
        <v>615</v>
      </c>
      <c r="H67" s="43" t="s">
        <v>616</v>
      </c>
      <c r="J67" s="43" t="s">
        <v>617</v>
      </c>
      <c r="L67" s="43" t="s">
        <v>239</v>
      </c>
      <c r="N67" s="43" t="s">
        <v>240</v>
      </c>
    </row>
    <row r="68" spans="1:14" x14ac:dyDescent="0.2">
      <c r="A68" s="43" t="s">
        <v>56</v>
      </c>
      <c r="C68" s="43" t="s">
        <v>408</v>
      </c>
      <c r="D68" s="43" t="s">
        <v>106</v>
      </c>
      <c r="E68" s="43" t="s">
        <v>131</v>
      </c>
      <c r="F68" s="43" t="s">
        <v>618</v>
      </c>
      <c r="H68" s="43" t="s">
        <v>619</v>
      </c>
      <c r="J68" s="43" t="s">
        <v>620</v>
      </c>
      <c r="L68" s="43" t="s">
        <v>241</v>
      </c>
      <c r="N68" s="43" t="s">
        <v>242</v>
      </c>
    </row>
    <row r="69" spans="1:14" x14ac:dyDescent="0.2">
      <c r="A69" s="43" t="s">
        <v>56</v>
      </c>
      <c r="C69" s="43" t="s">
        <v>409</v>
      </c>
      <c r="D69" s="43" t="s">
        <v>107</v>
      </c>
      <c r="E69" s="43" t="s">
        <v>132</v>
      </c>
      <c r="F69" s="43" t="s">
        <v>621</v>
      </c>
      <c r="H69" s="43" t="s">
        <v>622</v>
      </c>
      <c r="J69" s="43" t="s">
        <v>623</v>
      </c>
      <c r="L69" s="43" t="s">
        <v>243</v>
      </c>
      <c r="N69" s="43" t="s">
        <v>244</v>
      </c>
    </row>
    <row r="70" spans="1:14" x14ac:dyDescent="0.2">
      <c r="A70" s="43" t="s">
        <v>56</v>
      </c>
      <c r="C70" s="43" t="s">
        <v>410</v>
      </c>
      <c r="D70" s="43" t="s">
        <v>108</v>
      </c>
      <c r="E70" s="43" t="s">
        <v>133</v>
      </c>
      <c r="F70" s="43" t="s">
        <v>624</v>
      </c>
      <c r="H70" s="43" t="s">
        <v>625</v>
      </c>
      <c r="J70" s="43" t="s">
        <v>626</v>
      </c>
      <c r="L70" s="43" t="s">
        <v>245</v>
      </c>
      <c r="N70" s="43" t="s">
        <v>246</v>
      </c>
    </row>
    <row r="71" spans="1:14" x14ac:dyDescent="0.2">
      <c r="A71" s="43" t="s">
        <v>56</v>
      </c>
      <c r="C71" s="43" t="s">
        <v>411</v>
      </c>
      <c r="D71" s="43" t="s">
        <v>109</v>
      </c>
      <c r="E71" s="43" t="s">
        <v>134</v>
      </c>
      <c r="F71" s="43" t="s">
        <v>627</v>
      </c>
      <c r="H71" s="43" t="s">
        <v>628</v>
      </c>
      <c r="J71" s="43" t="s">
        <v>629</v>
      </c>
      <c r="L71" s="43" t="s">
        <v>247</v>
      </c>
      <c r="N71" s="43" t="s">
        <v>248</v>
      </c>
    </row>
    <row r="72" spans="1:14" x14ac:dyDescent="0.2">
      <c r="A72" s="43" t="s">
        <v>56</v>
      </c>
      <c r="C72" s="43" t="s">
        <v>412</v>
      </c>
      <c r="D72" s="43" t="s">
        <v>110</v>
      </c>
      <c r="E72" s="43" t="s">
        <v>135</v>
      </c>
      <c r="F72" s="43" t="s">
        <v>630</v>
      </c>
      <c r="H72" s="43" t="s">
        <v>631</v>
      </c>
      <c r="J72" s="43" t="s">
        <v>632</v>
      </c>
      <c r="L72" s="43" t="s">
        <v>249</v>
      </c>
      <c r="N72" s="43" t="s">
        <v>250</v>
      </c>
    </row>
    <row r="73" spans="1:14" x14ac:dyDescent="0.2">
      <c r="A73" s="43" t="s">
        <v>56</v>
      </c>
      <c r="C73" s="43" t="s">
        <v>413</v>
      </c>
      <c r="D73" s="43" t="s">
        <v>111</v>
      </c>
      <c r="E73" s="43" t="s">
        <v>136</v>
      </c>
      <c r="F73" s="43" t="s">
        <v>633</v>
      </c>
      <c r="H73" s="43" t="s">
        <v>634</v>
      </c>
      <c r="J73" s="43" t="s">
        <v>635</v>
      </c>
      <c r="L73" s="43" t="s">
        <v>251</v>
      </c>
      <c r="N73" s="43" t="s">
        <v>252</v>
      </c>
    </row>
    <row r="74" spans="1:14" x14ac:dyDescent="0.2">
      <c r="A74" s="43" t="s">
        <v>56</v>
      </c>
      <c r="C74" s="43" t="s">
        <v>414</v>
      </c>
      <c r="D74" s="43" t="s">
        <v>112</v>
      </c>
      <c r="E74" s="43" t="s">
        <v>137</v>
      </c>
      <c r="F74" s="43" t="s">
        <v>636</v>
      </c>
      <c r="H74" s="43" t="s">
        <v>637</v>
      </c>
      <c r="J74" s="43" t="s">
        <v>638</v>
      </c>
      <c r="L74" s="43" t="s">
        <v>253</v>
      </c>
      <c r="N74" s="43" t="s">
        <v>254</v>
      </c>
    </row>
    <row r="75" spans="1:14" x14ac:dyDescent="0.2">
      <c r="A75" s="43" t="s">
        <v>56</v>
      </c>
      <c r="C75" s="43" t="s">
        <v>415</v>
      </c>
      <c r="D75" s="43" t="s">
        <v>113</v>
      </c>
      <c r="E75" s="43" t="s">
        <v>138</v>
      </c>
      <c r="F75" s="43" t="s">
        <v>639</v>
      </c>
      <c r="H75" s="43" t="s">
        <v>640</v>
      </c>
      <c r="J75" s="43" t="s">
        <v>641</v>
      </c>
      <c r="L75" s="43" t="s">
        <v>255</v>
      </c>
      <c r="N75" s="43" t="s">
        <v>256</v>
      </c>
    </row>
    <row r="76" spans="1:14" x14ac:dyDescent="0.2">
      <c r="A76" s="43" t="s">
        <v>56</v>
      </c>
      <c r="C76" s="43" t="s">
        <v>416</v>
      </c>
      <c r="D76" s="43" t="s">
        <v>114</v>
      </c>
      <c r="E76" s="43" t="s">
        <v>139</v>
      </c>
      <c r="F76" s="43" t="s">
        <v>642</v>
      </c>
      <c r="H76" s="43" t="s">
        <v>643</v>
      </c>
      <c r="J76" s="43" t="s">
        <v>644</v>
      </c>
      <c r="L76" s="43" t="s">
        <v>257</v>
      </c>
      <c r="N76" s="43" t="s">
        <v>258</v>
      </c>
    </row>
    <row r="77" spans="1:14" x14ac:dyDescent="0.2">
      <c r="A77" s="43" t="s">
        <v>56</v>
      </c>
      <c r="C77" s="43" t="s">
        <v>417</v>
      </c>
      <c r="D77" s="43" t="s">
        <v>115</v>
      </c>
      <c r="E77" s="43" t="s">
        <v>140</v>
      </c>
      <c r="F77" s="43" t="s">
        <v>645</v>
      </c>
      <c r="H77" s="43" t="s">
        <v>646</v>
      </c>
      <c r="J77" s="43" t="s">
        <v>647</v>
      </c>
      <c r="L77" s="43" t="s">
        <v>259</v>
      </c>
      <c r="N77" s="43" t="s">
        <v>260</v>
      </c>
    </row>
    <row r="78" spans="1:14" x14ac:dyDescent="0.2">
      <c r="A78" s="43" t="s">
        <v>56</v>
      </c>
      <c r="C78" s="43" t="s">
        <v>418</v>
      </c>
      <c r="D78" s="43" t="s">
        <v>116</v>
      </c>
      <c r="E78" s="43" t="s">
        <v>141</v>
      </c>
      <c r="F78" s="43" t="s">
        <v>648</v>
      </c>
      <c r="H78" s="43" t="s">
        <v>649</v>
      </c>
      <c r="J78" s="43" t="s">
        <v>650</v>
      </c>
      <c r="L78" s="43" t="s">
        <v>261</v>
      </c>
      <c r="N78" s="43" t="s">
        <v>262</v>
      </c>
    </row>
    <row r="79" spans="1:14" x14ac:dyDescent="0.2">
      <c r="A79" s="43" t="s">
        <v>56</v>
      </c>
      <c r="C79" s="43" t="s">
        <v>419</v>
      </c>
      <c r="D79" s="43" t="s">
        <v>117</v>
      </c>
      <c r="E79" s="43" t="s">
        <v>142</v>
      </c>
      <c r="F79" s="43" t="s">
        <v>651</v>
      </c>
      <c r="H79" s="43" t="s">
        <v>652</v>
      </c>
      <c r="J79" s="43" t="s">
        <v>653</v>
      </c>
      <c r="L79" s="43" t="s">
        <v>263</v>
      </c>
      <c r="N79" s="43" t="s">
        <v>264</v>
      </c>
    </row>
    <row r="80" spans="1:14" x14ac:dyDescent="0.2">
      <c r="A80" s="43" t="s">
        <v>56</v>
      </c>
      <c r="C80" s="43" t="s">
        <v>420</v>
      </c>
      <c r="D80" s="43" t="s">
        <v>118</v>
      </c>
      <c r="E80" s="43" t="s">
        <v>143</v>
      </c>
      <c r="F80" s="43" t="s">
        <v>654</v>
      </c>
      <c r="H80" s="43" t="s">
        <v>655</v>
      </c>
      <c r="J80" s="43" t="s">
        <v>656</v>
      </c>
      <c r="L80" s="43" t="s">
        <v>265</v>
      </c>
      <c r="N80" s="43" t="s">
        <v>266</v>
      </c>
    </row>
    <row r="81" spans="1:14" x14ac:dyDescent="0.2">
      <c r="A81" s="43" t="s">
        <v>56</v>
      </c>
      <c r="C81" s="43" t="s">
        <v>421</v>
      </c>
      <c r="D81" s="43" t="s">
        <v>119</v>
      </c>
      <c r="E81" s="43" t="s">
        <v>144</v>
      </c>
      <c r="F81" s="43" t="s">
        <v>657</v>
      </c>
      <c r="H81" s="43" t="s">
        <v>658</v>
      </c>
      <c r="J81" s="43" t="s">
        <v>659</v>
      </c>
      <c r="L81" s="43" t="s">
        <v>267</v>
      </c>
      <c r="N81" s="43" t="s">
        <v>268</v>
      </c>
    </row>
    <row r="82" spans="1:14" x14ac:dyDescent="0.2">
      <c r="A82" s="43" t="s">
        <v>56</v>
      </c>
      <c r="C82" s="43" t="s">
        <v>422</v>
      </c>
      <c r="D82" s="43" t="s">
        <v>120</v>
      </c>
      <c r="E82" s="43" t="s">
        <v>145</v>
      </c>
      <c r="F82" s="43" t="s">
        <v>660</v>
      </c>
      <c r="H82" s="43" t="s">
        <v>661</v>
      </c>
      <c r="J82" s="43" t="s">
        <v>662</v>
      </c>
      <c r="L82" s="43" t="s">
        <v>269</v>
      </c>
      <c r="N82" s="43" t="s">
        <v>270</v>
      </c>
    </row>
    <row r="83" spans="1:14" x14ac:dyDescent="0.2">
      <c r="A83" s="43" t="s">
        <v>56</v>
      </c>
      <c r="C83" s="43" t="s">
        <v>423</v>
      </c>
      <c r="D83" s="43" t="s">
        <v>121</v>
      </c>
      <c r="E83" s="43" t="s">
        <v>146</v>
      </c>
      <c r="F83" s="43" t="s">
        <v>663</v>
      </c>
      <c r="H83" s="43" t="s">
        <v>664</v>
      </c>
      <c r="J83" s="43" t="s">
        <v>665</v>
      </c>
      <c r="L83" s="43" t="s">
        <v>271</v>
      </c>
      <c r="N83" s="43" t="s">
        <v>272</v>
      </c>
    </row>
    <row r="84" spans="1:14" x14ac:dyDescent="0.2">
      <c r="A84" s="43" t="s">
        <v>56</v>
      </c>
      <c r="C84" s="43" t="s">
        <v>424</v>
      </c>
      <c r="D84" s="43" t="s">
        <v>122</v>
      </c>
      <c r="E84" s="43" t="s">
        <v>147</v>
      </c>
      <c r="F84" s="43" t="s">
        <v>666</v>
      </c>
      <c r="H84" s="43" t="s">
        <v>667</v>
      </c>
      <c r="J84" s="43" t="s">
        <v>668</v>
      </c>
      <c r="L84" s="43" t="s">
        <v>273</v>
      </c>
      <c r="N84" s="43" t="s">
        <v>274</v>
      </c>
    </row>
    <row r="85" spans="1:14" x14ac:dyDescent="0.2">
      <c r="A85" s="43" t="s">
        <v>56</v>
      </c>
      <c r="C85" s="43" t="s">
        <v>425</v>
      </c>
      <c r="D85" s="43" t="s">
        <v>123</v>
      </c>
      <c r="E85" s="43" t="s">
        <v>148</v>
      </c>
      <c r="F85" s="43" t="s">
        <v>669</v>
      </c>
      <c r="H85" s="43" t="s">
        <v>670</v>
      </c>
      <c r="J85" s="43" t="s">
        <v>671</v>
      </c>
      <c r="L85" s="43" t="s">
        <v>275</v>
      </c>
      <c r="N85" s="43" t="s">
        <v>276</v>
      </c>
    </row>
    <row r="86" spans="1:14" x14ac:dyDescent="0.2">
      <c r="A86" s="43" t="s">
        <v>56</v>
      </c>
      <c r="C86" s="43" t="s">
        <v>426</v>
      </c>
      <c r="D86" s="43" t="s">
        <v>149</v>
      </c>
      <c r="E86" s="43" t="s">
        <v>154</v>
      </c>
      <c r="F86" s="43" t="s">
        <v>672</v>
      </c>
      <c r="H86" s="43" t="s">
        <v>673</v>
      </c>
      <c r="J86" s="43" t="s">
        <v>674</v>
      </c>
      <c r="L86" s="43" t="s">
        <v>277</v>
      </c>
      <c r="N86" s="43" t="s">
        <v>278</v>
      </c>
    </row>
    <row r="87" spans="1:14" x14ac:dyDescent="0.2">
      <c r="A87" s="43" t="s">
        <v>56</v>
      </c>
      <c r="C87" s="43" t="s">
        <v>427</v>
      </c>
      <c r="D87" s="43" t="s">
        <v>150</v>
      </c>
      <c r="E87" s="43" t="s">
        <v>155</v>
      </c>
      <c r="F87" s="43" t="s">
        <v>675</v>
      </c>
      <c r="H87" s="43" t="s">
        <v>676</v>
      </c>
      <c r="J87" s="43" t="s">
        <v>677</v>
      </c>
      <c r="L87" s="43" t="s">
        <v>279</v>
      </c>
      <c r="N87" s="43" t="s">
        <v>280</v>
      </c>
    </row>
    <row r="88" spans="1:14" x14ac:dyDescent="0.2">
      <c r="A88" s="43" t="s">
        <v>56</v>
      </c>
      <c r="C88" s="43" t="s">
        <v>428</v>
      </c>
      <c r="D88" s="43" t="s">
        <v>151</v>
      </c>
      <c r="E88" s="43" t="s">
        <v>156</v>
      </c>
      <c r="F88" s="43" t="s">
        <v>678</v>
      </c>
      <c r="H88" s="43" t="s">
        <v>679</v>
      </c>
      <c r="J88" s="43" t="s">
        <v>680</v>
      </c>
      <c r="L88" s="43" t="s">
        <v>281</v>
      </c>
      <c r="N88" s="43" t="s">
        <v>282</v>
      </c>
    </row>
    <row r="89" spans="1:14" x14ac:dyDescent="0.2">
      <c r="A89" s="43" t="s">
        <v>56</v>
      </c>
      <c r="C89" s="43" t="s">
        <v>429</v>
      </c>
      <c r="D89" s="43" t="s">
        <v>152</v>
      </c>
      <c r="E89" s="43" t="s">
        <v>157</v>
      </c>
      <c r="F89" s="43" t="s">
        <v>681</v>
      </c>
      <c r="H89" s="43" t="s">
        <v>682</v>
      </c>
      <c r="J89" s="43" t="s">
        <v>683</v>
      </c>
      <c r="L89" s="43" t="s">
        <v>283</v>
      </c>
      <c r="N89" s="43" t="s">
        <v>284</v>
      </c>
    </row>
    <row r="90" spans="1:14" x14ac:dyDescent="0.2">
      <c r="A90" s="43" t="s">
        <v>56</v>
      </c>
      <c r="C90" s="43" t="s">
        <v>430</v>
      </c>
      <c r="D90" s="43" t="s">
        <v>153</v>
      </c>
      <c r="E90" s="43" t="s">
        <v>158</v>
      </c>
      <c r="F90" s="43" t="s">
        <v>684</v>
      </c>
      <c r="H90" s="43" t="s">
        <v>685</v>
      </c>
      <c r="J90" s="43" t="s">
        <v>686</v>
      </c>
      <c r="L90" s="43" t="s">
        <v>285</v>
      </c>
      <c r="N90" s="43" t="s">
        <v>286</v>
      </c>
    </row>
    <row r="91" spans="1:14" x14ac:dyDescent="0.2">
      <c r="A91" s="43" t="s">
        <v>56</v>
      </c>
      <c r="C91" s="43" t="s">
        <v>431</v>
      </c>
      <c r="D91" s="43" t="s">
        <v>303</v>
      </c>
      <c r="E91" s="43" t="s">
        <v>305</v>
      </c>
      <c r="F91" s="43" t="s">
        <v>687</v>
      </c>
      <c r="H91" s="43" t="s">
        <v>688</v>
      </c>
      <c r="J91" s="43" t="s">
        <v>689</v>
      </c>
      <c r="L91" s="43" t="s">
        <v>296</v>
      </c>
      <c r="N91" s="43" t="s">
        <v>297</v>
      </c>
    </row>
    <row r="92" spans="1:14" x14ac:dyDescent="0.2">
      <c r="A92" s="43" t="s">
        <v>56</v>
      </c>
      <c r="C92" s="43" t="s">
        <v>432</v>
      </c>
      <c r="D92" s="43" t="s">
        <v>304</v>
      </c>
      <c r="E92" s="43" t="s">
        <v>306</v>
      </c>
      <c r="F92" s="43" t="s">
        <v>690</v>
      </c>
      <c r="H92" s="43" t="s">
        <v>691</v>
      </c>
      <c r="J92" s="43" t="s">
        <v>692</v>
      </c>
      <c r="L92" s="43" t="s">
        <v>287</v>
      </c>
      <c r="N92" s="43" t="s">
        <v>288</v>
      </c>
    </row>
    <row r="93" spans="1:14" x14ac:dyDescent="0.2">
      <c r="C93" s="43" t="s">
        <v>51</v>
      </c>
      <c r="D93" s="43" t="s">
        <v>319</v>
      </c>
      <c r="E93" s="43" t="s">
        <v>321</v>
      </c>
      <c r="F93" s="43" t="s">
        <v>693</v>
      </c>
      <c r="H93" s="43" t="s">
        <v>694</v>
      </c>
      <c r="J93" s="43" t="s">
        <v>695</v>
      </c>
      <c r="L93" s="43" t="s">
        <v>311</v>
      </c>
      <c r="N93" s="43" t="s">
        <v>312</v>
      </c>
    </row>
    <row r="94" spans="1:14" x14ac:dyDescent="0.2">
      <c r="A94" s="43" t="s">
        <v>56</v>
      </c>
      <c r="C94" s="43" t="s">
        <v>433</v>
      </c>
      <c r="D94" s="43" t="s">
        <v>320</v>
      </c>
      <c r="E94" s="43" t="s">
        <v>322</v>
      </c>
      <c r="F94" s="43" t="s">
        <v>696</v>
      </c>
      <c r="H94" s="43" t="s">
        <v>697</v>
      </c>
      <c r="J94" s="43" t="s">
        <v>698</v>
      </c>
      <c r="L94" s="43" t="s">
        <v>289</v>
      </c>
      <c r="N94" s="43" t="s">
        <v>298</v>
      </c>
    </row>
    <row r="95" spans="1:14" x14ac:dyDescent="0.2">
      <c r="A95" s="43" t="s">
        <v>56</v>
      </c>
      <c r="C95" s="43" t="s">
        <v>434</v>
      </c>
      <c r="D95" s="43" t="s">
        <v>333</v>
      </c>
      <c r="E95" s="43" t="s">
        <v>334</v>
      </c>
      <c r="F95" s="43" t="s">
        <v>699</v>
      </c>
      <c r="H95" s="43" t="s">
        <v>700</v>
      </c>
      <c r="J95" s="43" t="s">
        <v>701</v>
      </c>
      <c r="L95" s="43" t="s">
        <v>327</v>
      </c>
      <c r="N95" s="43" t="s">
        <v>328</v>
      </c>
    </row>
    <row r="96" spans="1:14" x14ac:dyDescent="0.2">
      <c r="A96" s="43" t="s">
        <v>56</v>
      </c>
      <c r="C96" s="43" t="s">
        <v>435</v>
      </c>
      <c r="D96" s="43" t="s">
        <v>345</v>
      </c>
      <c r="E96" s="43" t="s">
        <v>346</v>
      </c>
      <c r="F96" s="43" t="s">
        <v>702</v>
      </c>
      <c r="H96" s="43" t="s">
        <v>703</v>
      </c>
      <c r="J96" s="43" t="s">
        <v>704</v>
      </c>
      <c r="L96" s="43" t="s">
        <v>339</v>
      </c>
      <c r="N96" s="43" t="s">
        <v>340</v>
      </c>
    </row>
    <row r="97" spans="1:14" x14ac:dyDescent="0.2">
      <c r="A97" s="43" t="s">
        <v>56</v>
      </c>
      <c r="C97" s="43" t="s">
        <v>436</v>
      </c>
      <c r="D97" s="43" t="s">
        <v>360</v>
      </c>
      <c r="E97" s="43" t="s">
        <v>361</v>
      </c>
      <c r="F97" s="43" t="s">
        <v>705</v>
      </c>
      <c r="H97" s="43" t="s">
        <v>706</v>
      </c>
      <c r="J97" s="43" t="s">
        <v>707</v>
      </c>
      <c r="L97" s="43" t="s">
        <v>351</v>
      </c>
      <c r="N97" s="43" t="s">
        <v>352</v>
      </c>
    </row>
    <row r="98" spans="1:14" x14ac:dyDescent="0.2">
      <c r="A98" s="43" t="s">
        <v>56</v>
      </c>
      <c r="C98" s="43" t="s">
        <v>437</v>
      </c>
      <c r="D98" s="43" t="s">
        <v>482</v>
      </c>
      <c r="E98" s="43" t="s">
        <v>484</v>
      </c>
      <c r="F98" s="43" t="s">
        <v>708</v>
      </c>
      <c r="H98" s="43" t="s">
        <v>709</v>
      </c>
      <c r="J98" s="43" t="s">
        <v>710</v>
      </c>
      <c r="L98" s="43" t="s">
        <v>459</v>
      </c>
      <c r="N98" s="43" t="s">
        <v>460</v>
      </c>
    </row>
    <row r="99" spans="1:14" x14ac:dyDescent="0.2">
      <c r="A99" s="43" t="s">
        <v>56</v>
      </c>
      <c r="C99" s="43" t="s">
        <v>438</v>
      </c>
      <c r="D99" s="43" t="s">
        <v>483</v>
      </c>
      <c r="E99" s="43" t="s">
        <v>485</v>
      </c>
      <c r="F99" s="43" t="s">
        <v>711</v>
      </c>
      <c r="H99" s="43" t="s">
        <v>712</v>
      </c>
      <c r="J99" s="43" t="s">
        <v>713</v>
      </c>
      <c r="L99" s="43" t="s">
        <v>353</v>
      </c>
      <c r="N99" s="43" t="s">
        <v>354</v>
      </c>
    </row>
    <row r="101" spans="1:14" x14ac:dyDescent="0.2">
      <c r="E101" s="43" t="s">
        <v>160</v>
      </c>
      <c r="F101" s="43" t="s">
        <v>461</v>
      </c>
      <c r="H101" s="43" t="s">
        <v>462</v>
      </c>
      <c r="J101" s="43" t="s">
        <v>463</v>
      </c>
      <c r="L101" s="43" t="s">
        <v>355</v>
      </c>
      <c r="N101" s="43" t="s">
        <v>464</v>
      </c>
    </row>
    <row r="103" spans="1:14" x14ac:dyDescent="0.2">
      <c r="E103" s="43" t="s">
        <v>8</v>
      </c>
      <c r="F103" s="43" t="s">
        <v>465</v>
      </c>
      <c r="H103" s="43" t="s">
        <v>466</v>
      </c>
      <c r="J103" s="43" t="s">
        <v>467</v>
      </c>
      <c r="L103" s="43" t="s">
        <v>356</v>
      </c>
      <c r="N103" s="43" t="s">
        <v>357</v>
      </c>
    </row>
    <row r="105" spans="1:14" x14ac:dyDescent="0.2">
      <c r="E105" s="43" t="s">
        <v>1</v>
      </c>
      <c r="F105" s="43" t="s">
        <v>468</v>
      </c>
      <c r="H105" s="43" t="s">
        <v>469</v>
      </c>
      <c r="J105" s="43" t="s">
        <v>470</v>
      </c>
      <c r="L105" s="43" t="s">
        <v>471</v>
      </c>
      <c r="N105" s="43" t="s">
        <v>472</v>
      </c>
    </row>
    <row r="108" spans="1:14" x14ac:dyDescent="0.2">
      <c r="D108" s="43" t="s">
        <v>52</v>
      </c>
      <c r="E108" s="43" t="s">
        <v>21</v>
      </c>
      <c r="F108" s="43" t="s">
        <v>714</v>
      </c>
      <c r="H108" s="43" t="s">
        <v>715</v>
      </c>
      <c r="J108" s="43" t="s">
        <v>716</v>
      </c>
    </row>
    <row r="110" spans="1:14" x14ac:dyDescent="0.2">
      <c r="E110" s="43" t="s">
        <v>22</v>
      </c>
      <c r="F110" s="43" t="s">
        <v>473</v>
      </c>
      <c r="H110" s="43" t="s">
        <v>474</v>
      </c>
      <c r="J110" s="43" t="s">
        <v>475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Options</vt:lpstr>
      <vt:lpstr>Report</vt:lpstr>
      <vt:lpstr>Report!Print_Area</vt:lpstr>
      <vt:lpstr>Territory</vt:lpstr>
    </vt:vector>
  </TitlesOfParts>
  <Company>GSE Lining Technologies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8013 Customer Order Detail</dc:title>
  <dc:creator>Amy Homan</dc:creator>
  <cp:keywords>Customer, Order, Header, Lines</cp:keywords>
  <cp:lastModifiedBy>Elenita Dizon</cp:lastModifiedBy>
  <cp:lastPrinted>2016-12-16T17:38:24Z</cp:lastPrinted>
  <dcterms:created xsi:type="dcterms:W3CDTF">2004-11-16T19:09:45Z</dcterms:created>
  <dcterms:modified xsi:type="dcterms:W3CDTF">2020-01-10T20:13:26Z</dcterms:modified>
  <cp:category>Sales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true</vt:bool>
  </property>
  <property fmtid="{D5CDD505-2E9C-101B-9397-08002B2CF9AE}" pid="3" name="Jet Reports Last Version Refresh">
    <vt:lpwstr>Version 5.3.1  Released 3/8/2007 10:51:11 AM</vt:lpwstr>
  </property>
  <property fmtid="{D5CDD505-2E9C-101B-9397-08002B2CF9AE}" pid="4" name="Jet Reports Design Mode Active">
    <vt:bool>false</vt:bool>
  </property>
  <property fmtid="{D5CDD505-2E9C-101B-9397-08002B2CF9AE}" pid="5" name="NeedsREVERT">
    <vt:lpwstr>FALSE</vt:lpwstr>
  </property>
  <property fmtid="{D5CDD505-2E9C-101B-9397-08002B2CF9AE}" pid="6" name="OriginalName">
    <vt:lpwstr>AHSA Profit Loss 2010 All Codes.xls</vt:lpwstr>
  </property>
  <property fmtid="{D5CDD505-2E9C-101B-9397-08002B2CF9AE}" pid="7" name="Jet Reports Function Literals">
    <vt:lpwstr>,	;	,	{	}	[@[{0}]]	1033</vt:lpwstr>
  </property>
</Properties>
</file>